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766" activeTab="1"/>
  </bookViews>
  <sheets>
    <sheet name="Resultatskj" sheetId="1" r:id="rId1"/>
    <sheet name="Rangeri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definedNames>
    <definedName name="_xlnm.Print_Area" localSheetId="1">'Rangering'!$A$1:$O$27</definedName>
  </definedNames>
  <calcPr fullCalcOnLoad="1"/>
</workbook>
</file>

<file path=xl/comments1.xml><?xml version="1.0" encoding="utf-8"?>
<comments xmlns="http://schemas.openxmlformats.org/spreadsheetml/2006/main">
  <authors>
    <author>Strand</author>
  </authors>
  <commentList>
    <comment ref="H4" authorId="0">
      <text>
        <r>
          <rPr>
            <b/>
            <sz val="9"/>
            <rFont val="Tahoma"/>
            <family val="0"/>
          </rPr>
          <t>Strand:</t>
        </r>
        <r>
          <rPr>
            <sz val="9"/>
            <rFont val="Tahoma"/>
            <family val="0"/>
          </rPr>
          <t xml:space="preserve">
Skriv inn gruppe enten "Spor" eller "Rundering"</t>
        </r>
      </text>
    </comment>
  </commentList>
</comments>
</file>

<file path=xl/sharedStrings.xml><?xml version="1.0" encoding="utf-8"?>
<sst xmlns="http://schemas.openxmlformats.org/spreadsheetml/2006/main" count="395" uniqueCount="144">
  <si>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</si>
  <si>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</si>
  <si>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</si>
  <si>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</si>
  <si>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</si>
  <si>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</si>
  <si>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</si>
  <si>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</si>
  <si>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</si>
  <si>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</si>
  <si>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</si>
  <si>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</si>
  <si>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</si>
  <si>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</si>
  <si>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</si>
  <si>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</si>
  <si>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</si>
  <si>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</si>
  <si>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</si>
  <si>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</si>
  <si>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</si>
  <si>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</si>
  <si>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</si>
  <si>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</si>
  <si>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</si>
  <si>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</si>
  <si>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</si>
  <si>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</si>
  <si>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</si>
  <si>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</si>
  <si>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</si>
  <si>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</si>
  <si>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</si>
  <si>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</si>
  <si>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</si>
  <si>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</si>
  <si>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</si>
  <si>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Dommer: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</si>
  <si>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</si>
  <si>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</si>
  <si>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</si>
  <si>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</si>
  <si>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</si>
  <si>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</si>
  <si>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</si>
  <si>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</si>
  <si>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</si>
  <si>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</si>
  <si>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</si>
  <si>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Cert</t>
  </si>
  <si>
    <t>CACIT</t>
  </si>
  <si>
    <t>Kat.</t>
  </si>
  <si>
    <t>nr.:</t>
  </si>
  <si>
    <t>Prøve nr.:</t>
  </si>
  <si>
    <t>Sted:</t>
  </si>
  <si>
    <t>RESULTATSKJEMA</t>
  </si>
  <si>
    <t>Klasse:</t>
  </si>
  <si>
    <t>Underskrift dommere:</t>
  </si>
  <si>
    <t>Original til NKK. Kopi til NBF, arrangørklubben og deltaker.</t>
  </si>
  <si>
    <t>D</t>
  </si>
  <si>
    <t>Fellesdekk</t>
  </si>
  <si>
    <t>Original til NKK. Kopi til NBF og arrangørklubben.</t>
  </si>
  <si>
    <t>Innkalling m/stå og dekk</t>
  </si>
  <si>
    <t>Fremadsending</t>
  </si>
  <si>
    <t>Kryp</t>
  </si>
  <si>
    <t>Hals på kommando</t>
  </si>
  <si>
    <t>Fritt hopp over hinder</t>
  </si>
  <si>
    <t>Apportering metallapport</t>
  </si>
  <si>
    <t>Apportering tung gjenstand</t>
  </si>
  <si>
    <t>Stigeklatring</t>
  </si>
  <si>
    <t>Feltsøk</t>
  </si>
  <si>
    <t>Sporoppsøk</t>
  </si>
  <si>
    <t>C</t>
  </si>
  <si>
    <t>Cert/CACIT</t>
  </si>
  <si>
    <t>- Derav i lydighetsøvelsene</t>
  </si>
  <si>
    <t>Kl. A - DOMMERPROTOKOLL</t>
  </si>
  <si>
    <t>Hundefører:</t>
  </si>
  <si>
    <t>B.Strand 28.08.2007</t>
  </si>
  <si>
    <t>Sammen</t>
  </si>
  <si>
    <t>Snitt K</t>
  </si>
  <si>
    <t>B.Strand, august 2007</t>
  </si>
  <si>
    <t>Kat.nr:</t>
  </si>
  <si>
    <t>Salten Brukshundklubb</t>
  </si>
  <si>
    <t>Somollis Gulli</t>
  </si>
  <si>
    <t>Turid Stavn</t>
  </si>
  <si>
    <t>Border Collie</t>
  </si>
  <si>
    <t>Stovner HK</t>
  </si>
  <si>
    <t>Nbch Tin Tin</t>
  </si>
  <si>
    <t>Toril V Pedersen</t>
  </si>
  <si>
    <t>Nidaros BHK</t>
  </si>
  <si>
    <t>Kelpie</t>
  </si>
  <si>
    <t>Kjekkas</t>
  </si>
  <si>
    <t>Erling Aarbakke</t>
  </si>
  <si>
    <t>Hyper</t>
  </si>
  <si>
    <t>Finn - Hugo Øien</t>
  </si>
  <si>
    <t>Malinois</t>
  </si>
  <si>
    <t>Alx Trassento</t>
  </si>
  <si>
    <t>Jane Pedersen</t>
  </si>
  <si>
    <t>Kragerø HK</t>
  </si>
  <si>
    <t>Breakpoint's Harley of Okey</t>
  </si>
  <si>
    <t>Per Arne Bakke</t>
  </si>
  <si>
    <t>Larvik og omeng hundeklubb</t>
  </si>
  <si>
    <t>Biko</t>
  </si>
  <si>
    <t>Claus Stokland</t>
  </si>
  <si>
    <t>Bjørn Olsen</t>
  </si>
  <si>
    <t>Fosen BHK</t>
  </si>
  <si>
    <t>Schæfer</t>
  </si>
  <si>
    <t>Tunevannets Olli</t>
  </si>
  <si>
    <t>Ingar Oliversen</t>
  </si>
  <si>
    <t>Sarpsborg HK</t>
  </si>
  <si>
    <t>NLch Nbch Mallekraft's Brenda the Brakeless</t>
  </si>
  <si>
    <t>Norsk Belgisk Fårehundklubb</t>
  </si>
  <si>
    <t>BH Nbch Brandfjellet's Grå Kiara</t>
  </si>
  <si>
    <t>Elisabeth Pedersen</t>
  </si>
  <si>
    <t>Håkon Groven</t>
  </si>
  <si>
    <t>v10971/2000</t>
  </si>
  <si>
    <t>23791/05</t>
  </si>
  <si>
    <t>Voss HK</t>
  </si>
  <si>
    <t>00720/04</t>
  </si>
  <si>
    <t>Drammen HK</t>
  </si>
  <si>
    <t>21724/07</t>
  </si>
  <si>
    <t>Marit Brevik</t>
  </si>
  <si>
    <t>NBFK</t>
  </si>
  <si>
    <t>NBCH Zagal's Gere</t>
  </si>
  <si>
    <t>13906/01</t>
  </si>
  <si>
    <t>Gresjaskogens Ayzo</t>
  </si>
  <si>
    <t>S14041/2007</t>
  </si>
  <si>
    <t>01141/04</t>
  </si>
  <si>
    <t>19534/03</t>
  </si>
  <si>
    <t>00389/03</t>
  </si>
  <si>
    <t>04747/05</t>
  </si>
  <si>
    <t>S20734/05</t>
  </si>
  <si>
    <t>Kronvallaren E-Tam</t>
  </si>
  <si>
    <t>REGV1098/2005</t>
  </si>
  <si>
    <t>05919/04</t>
  </si>
  <si>
    <t>83-10063</t>
  </si>
  <si>
    <t>Fauske</t>
  </si>
  <si>
    <t>Johnny Knutsen, Arvid Strømsvik, Terje Pedersen</t>
  </si>
  <si>
    <t>Tor Tetli, Arild Djupvik og Kristoffer Modell</t>
  </si>
  <si>
    <t>Belgisk Fårehund, Groenendael</t>
  </si>
  <si>
    <t>S39335/2004</t>
  </si>
  <si>
    <t>Hilde Nordlie</t>
  </si>
  <si>
    <t>Torild Hansen Tunge</t>
  </si>
  <si>
    <t>Åbogården's I-Chica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</si>
</sst>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;[Red]0.0"/>
    <numFmt numFmtId="174" formatCode="[&lt;=9999]0000;General"/>
    <numFmt numFmtId="175" formatCode="0.000"/>
  </numFmts>
  <fonts count="66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2" fontId="3" fillId="0" borderId="10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72" fontId="3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24" fillId="0" borderId="30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16" fillId="33" borderId="15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172" fontId="3" fillId="0" borderId="15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172" fontId="13" fillId="35" borderId="14" xfId="0" applyNumberFormat="1" applyFont="1" applyFill="1" applyBorder="1" applyAlignment="1" applyProtection="1">
      <alignment horizontal="center"/>
      <protection locked="0"/>
    </xf>
    <xf numFmtId="20" fontId="12" fillId="35" borderId="30" xfId="0" applyNumberFormat="1" applyFont="1" applyFill="1" applyBorder="1" applyAlignment="1" applyProtection="1">
      <alignment horizontal="center"/>
      <protection locked="0"/>
    </xf>
    <xf numFmtId="20" fontId="12" fillId="35" borderId="38" xfId="0" applyNumberFormat="1" applyFont="1" applyFill="1" applyBorder="1" applyAlignment="1" applyProtection="1">
      <alignment horizontal="center"/>
      <protection locked="0"/>
    </xf>
    <xf numFmtId="172" fontId="13" fillId="35" borderId="10" xfId="0" applyNumberFormat="1" applyFont="1" applyFill="1" applyBorder="1" applyAlignment="1" applyProtection="1">
      <alignment horizontal="center"/>
      <protection locked="0"/>
    </xf>
    <xf numFmtId="0" fontId="17" fillId="35" borderId="36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/>
    </xf>
    <xf numFmtId="2" fontId="1" fillId="0" borderId="34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26" fillId="0" borderId="14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26" fillId="0" borderId="15" xfId="0" applyNumberFormat="1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26" fillId="0" borderId="14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26" fillId="0" borderId="15" xfId="0" applyNumberFormat="1" applyFont="1" applyBorder="1" applyAlignment="1" applyProtection="1">
      <alignment horizontal="center"/>
      <protection/>
    </xf>
    <xf numFmtId="0" fontId="14" fillId="35" borderId="30" xfId="0" applyFont="1" applyFill="1" applyBorder="1" applyAlignment="1" applyProtection="1">
      <alignment horizontal="left"/>
      <protection locked="0"/>
    </xf>
    <xf numFmtId="0" fontId="14" fillId="35" borderId="14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7" fillId="35" borderId="39" xfId="0" applyFont="1" applyFill="1" applyBorder="1" applyAlignment="1" applyProtection="1">
      <alignment horizontal="center"/>
      <protection locked="0"/>
    </xf>
    <xf numFmtId="0" fontId="17" fillId="35" borderId="1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14" fillId="35" borderId="36" xfId="0" applyFont="1" applyFill="1" applyBorder="1" applyAlignment="1" applyProtection="1">
      <alignment/>
      <protection locked="0"/>
    </xf>
    <xf numFmtId="0" fontId="14" fillId="35" borderId="12" xfId="0" applyFont="1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1" fillId="0" borderId="43" xfId="0" applyFont="1" applyBorder="1" applyAlignment="1" applyProtection="1">
      <alignment horizontal="right"/>
      <protection/>
    </xf>
    <xf numFmtId="0" fontId="3" fillId="0" borderId="44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4" fillId="35" borderId="43" xfId="0" applyFont="1" applyFill="1" applyBorder="1" applyAlignment="1" applyProtection="1">
      <alignment horizontal="center"/>
      <protection locked="0"/>
    </xf>
    <xf numFmtId="0" fontId="14" fillId="35" borderId="46" xfId="0" applyFont="1" applyFill="1" applyBorder="1" applyAlignment="1" applyProtection="1">
      <alignment horizontal="center"/>
      <protection locked="0"/>
    </xf>
    <xf numFmtId="0" fontId="14" fillId="35" borderId="47" xfId="0" applyFont="1" applyFill="1" applyBorder="1" applyAlignment="1" applyProtection="1">
      <alignment horizontal="center"/>
      <protection locked="0"/>
    </xf>
    <xf numFmtId="0" fontId="14" fillId="35" borderId="48" xfId="0" applyFont="1" applyFill="1" applyBorder="1" applyAlignment="1" applyProtection="1">
      <alignment horizontal="center"/>
      <protection locked="0"/>
    </xf>
    <xf numFmtId="14" fontId="17" fillId="35" borderId="43" xfId="0" applyNumberFormat="1" applyFont="1" applyFill="1" applyBorder="1" applyAlignment="1" applyProtection="1">
      <alignment horizontal="center"/>
      <protection locked="0"/>
    </xf>
    <xf numFmtId="0" fontId="17" fillId="35" borderId="43" xfId="0" applyFont="1" applyFill="1" applyBorder="1" applyAlignment="1" applyProtection="1">
      <alignment horizontal="center"/>
      <protection locked="0"/>
    </xf>
    <xf numFmtId="0" fontId="17" fillId="35" borderId="45" xfId="0" applyFont="1" applyFill="1" applyBorder="1" applyAlignment="1" applyProtection="1">
      <alignment horizontal="center"/>
      <protection locked="0"/>
    </xf>
    <xf numFmtId="0" fontId="17" fillId="35" borderId="47" xfId="0" applyFont="1" applyFill="1" applyBorder="1" applyAlignment="1" applyProtection="1">
      <alignment horizontal="center"/>
      <protection locked="0"/>
    </xf>
    <xf numFmtId="0" fontId="17" fillId="35" borderId="49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0" borderId="51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52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14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72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3" fillId="0" borderId="51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7" fillId="0" borderId="54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 horizontal="center"/>
      <protection locked="0"/>
    </xf>
    <xf numFmtId="172" fontId="1" fillId="0" borderId="51" xfId="0" applyNumberFormat="1" applyFont="1" applyBorder="1" applyAlignment="1" applyProtection="1">
      <alignment horizontal="center"/>
      <protection locked="0"/>
    </xf>
    <xf numFmtId="172" fontId="1" fillId="0" borderId="19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9" fillId="0" borderId="51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4" fontId="20" fillId="0" borderId="51" xfId="0" applyNumberFormat="1" applyFont="1" applyFill="1" applyBorder="1" applyAlignment="1" applyProtection="1">
      <alignment horizontal="center"/>
      <protection/>
    </xf>
    <xf numFmtId="0" fontId="20" fillId="0" borderId="51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14" fillId="35" borderId="52" xfId="0" applyFont="1" applyFill="1" applyBorder="1" applyAlignment="1" applyProtection="1">
      <alignment horizontal="left"/>
      <protection locked="0"/>
    </xf>
    <xf numFmtId="0" fontId="14" fillId="35" borderId="2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20" fontId="0" fillId="0" borderId="10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20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4" fillId="35" borderId="51" xfId="0" applyFont="1" applyFill="1" applyBorder="1" applyAlignment="1" applyProtection="1">
      <alignment horizontal="left"/>
      <protection locked="0"/>
    </xf>
    <xf numFmtId="0" fontId="14" fillId="35" borderId="39" xfId="0" applyFont="1" applyFill="1" applyBorder="1" applyAlignment="1" applyProtection="1">
      <alignment horizontal="left"/>
      <protection locked="0"/>
    </xf>
    <xf numFmtId="0" fontId="14" fillId="35" borderId="50" xfId="0" applyFont="1" applyFill="1" applyBorder="1" applyAlignment="1" applyProtection="1">
      <alignment horizontal="left"/>
      <protection locked="0"/>
    </xf>
    <xf numFmtId="0" fontId="14" fillId="35" borderId="18" xfId="0" applyFont="1" applyFill="1" applyBorder="1" applyAlignment="1" applyProtection="1">
      <alignment horizontal="left"/>
      <protection locked="0"/>
    </xf>
    <xf numFmtId="0" fontId="14" fillId="35" borderId="19" xfId="0" applyFont="1" applyFill="1" applyBorder="1" applyAlignment="1" applyProtection="1">
      <alignment horizontal="left"/>
      <protection locked="0"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34" xfId="0" applyNumberFormat="1" applyFont="1" applyBorder="1" applyAlignment="1" applyProtection="1">
      <alignment horizontal="center"/>
      <protection/>
    </xf>
    <xf numFmtId="2" fontId="4" fillId="0" borderId="55" xfId="0" applyNumberFormat="1" applyFont="1" applyBorder="1" applyAlignment="1" applyProtection="1">
      <alignment horizontal="center"/>
      <protection/>
    </xf>
    <xf numFmtId="2" fontId="4" fillId="0" borderId="56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2" fontId="2" fillId="36" borderId="57" xfId="0" applyNumberFormat="1" applyFont="1" applyFill="1" applyBorder="1" applyAlignment="1" applyProtection="1">
      <alignment horizontal="center"/>
      <protection/>
    </xf>
    <xf numFmtId="2" fontId="2" fillId="36" borderId="58" xfId="0" applyNumberFormat="1" applyFont="1" applyFill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72" fontId="9" fillId="0" borderId="35" xfId="0" applyNumberFormat="1" applyFont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2</xdr:col>
      <xdr:colOff>666750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6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</xdr:col>
      <xdr:colOff>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95250</xdr:rowOff>
    </xdr:from>
    <xdr:to>
      <xdr:col>20</xdr:col>
      <xdr:colOff>647700</xdr:colOff>
      <xdr:row>8</xdr:row>
      <xdr:rowOff>57150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010775" y="847725"/>
          <a:ext cx="44386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Brukerveiledning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Kun de cellene markert med gult skal skrives 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Deltagerne føres opp på arkfanene etter katalog nr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Arkfanen "Rangering" kan brukes for å til enhver tid sortere etter plassering.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NB! Skal makroene for ranking virke må innstillingene på makro - sikkerhet være satt på middels eller lav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2</xdr:col>
      <xdr:colOff>685800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9525</xdr:rowOff>
    </xdr:from>
    <xdr:to>
      <xdr:col>1</xdr:col>
      <xdr:colOff>209550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47625</xdr:colOff>
      <xdr:row>0</xdr:row>
      <xdr:rowOff>676275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4</xdr:col>
      <xdr:colOff>57150</xdr:colOff>
      <xdr:row>0</xdr:row>
      <xdr:rowOff>676275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85" zoomScalePageLayoutView="0" workbookViewId="0" topLeftCell="A4">
      <selection activeCell="I13" sqref="I13"/>
    </sheetView>
  </sheetViews>
  <sheetFormatPr defaultColWidth="11.421875" defaultRowHeight="12.75"/>
  <cols>
    <col min="1" max="2" width="4.7109375" style="0" customWidth="1"/>
    <col min="3" max="3" width="26.7109375" style="0" customWidth="1"/>
    <col min="4" max="4" width="11.8515625" style="0" customWidth="1"/>
    <col min="5" max="5" width="13.7109375" style="0" customWidth="1"/>
    <col min="6" max="6" width="25.00390625" style="0" customWidth="1"/>
    <col min="7" max="9" width="7.7109375" style="0" customWidth="1"/>
    <col min="10" max="14" width="5.7109375" style="0" customWidth="1"/>
  </cols>
  <sheetData>
    <row r="1" spans="1:14" ht="59.25" customHeight="1" thickBo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8.75" customHeight="1">
      <c r="A2" s="123" t="s">
        <v>0</v>
      </c>
      <c r="B2" s="124"/>
      <c r="C2" s="128" t="s">
        <v>82</v>
      </c>
      <c r="D2" s="129"/>
      <c r="E2" s="25" t="s">
        <v>53</v>
      </c>
      <c r="F2" s="92" t="s">
        <v>135</v>
      </c>
      <c r="G2" s="26" t="s">
        <v>54</v>
      </c>
      <c r="H2" s="137" t="s">
        <v>136</v>
      </c>
      <c r="I2" s="137"/>
      <c r="J2" s="138"/>
      <c r="K2" s="26" t="s">
        <v>35</v>
      </c>
      <c r="L2" s="141">
        <v>40411</v>
      </c>
      <c r="M2" s="142"/>
      <c r="N2" s="143"/>
    </row>
    <row r="3" spans="1:14" ht="18.75" customHeight="1">
      <c r="A3" s="125" t="s">
        <v>37</v>
      </c>
      <c r="B3" s="126"/>
      <c r="C3" s="107" t="s">
        <v>137</v>
      </c>
      <c r="D3" s="108"/>
      <c r="E3" s="108"/>
      <c r="F3" s="108"/>
      <c r="G3" s="27"/>
      <c r="H3" s="139"/>
      <c r="I3" s="139"/>
      <c r="J3" s="140"/>
      <c r="K3" s="27"/>
      <c r="L3" s="144"/>
      <c r="M3" s="144"/>
      <c r="N3" s="145"/>
    </row>
    <row r="4" spans="1:14" ht="18.75" thickBot="1">
      <c r="A4" s="127" t="s">
        <v>37</v>
      </c>
      <c r="B4" s="122"/>
      <c r="C4" s="107" t="s">
        <v>138</v>
      </c>
      <c r="D4" s="108"/>
      <c r="E4" s="108"/>
      <c r="F4" s="108"/>
      <c r="G4" s="28" t="s">
        <v>34</v>
      </c>
      <c r="H4" s="117" t="s">
        <v>20</v>
      </c>
      <c r="I4" s="118"/>
      <c r="J4" s="118"/>
      <c r="K4" s="121" t="s">
        <v>56</v>
      </c>
      <c r="L4" s="122"/>
      <c r="M4" s="119" t="s">
        <v>11</v>
      </c>
      <c r="N4" s="120"/>
    </row>
    <row r="5" spans="1:14" ht="12" customHeight="1" thickBot="1">
      <c r="A5" s="29"/>
      <c r="B5" s="29"/>
      <c r="C5" s="23"/>
      <c r="D5" s="23"/>
      <c r="E5" s="23"/>
      <c r="F5" s="23"/>
      <c r="G5" s="29"/>
      <c r="H5" s="30"/>
      <c r="I5" s="30"/>
      <c r="J5" s="30"/>
      <c r="K5" s="29"/>
      <c r="L5" s="29"/>
      <c r="M5" s="31"/>
      <c r="N5" s="31"/>
    </row>
    <row r="6" spans="1:14" ht="12.75">
      <c r="A6" s="111" t="s">
        <v>38</v>
      </c>
      <c r="B6" s="32" t="s">
        <v>51</v>
      </c>
      <c r="C6" s="113" t="s">
        <v>31</v>
      </c>
      <c r="D6" s="113" t="s">
        <v>32</v>
      </c>
      <c r="E6" s="113" t="s">
        <v>33</v>
      </c>
      <c r="F6" s="113" t="s">
        <v>2</v>
      </c>
      <c r="G6" s="33" t="s">
        <v>18</v>
      </c>
      <c r="H6" s="33" t="s">
        <v>18</v>
      </c>
      <c r="I6" s="33" t="s">
        <v>41</v>
      </c>
      <c r="J6" s="33" t="s">
        <v>43</v>
      </c>
      <c r="K6" s="33" t="s">
        <v>45</v>
      </c>
      <c r="L6" s="33" t="s">
        <v>47</v>
      </c>
      <c r="M6" s="146" t="s">
        <v>49</v>
      </c>
      <c r="N6" s="109" t="s">
        <v>50</v>
      </c>
    </row>
    <row r="7" spans="1:14" ht="12.75">
      <c r="A7" s="112"/>
      <c r="B7" s="34" t="s">
        <v>52</v>
      </c>
      <c r="C7" s="114"/>
      <c r="D7" s="114"/>
      <c r="E7" s="114"/>
      <c r="F7" s="114"/>
      <c r="G7" s="35" t="s">
        <v>39</v>
      </c>
      <c r="H7" s="35" t="s">
        <v>40</v>
      </c>
      <c r="I7" s="35" t="s">
        <v>42</v>
      </c>
      <c r="J7" s="35" t="s">
        <v>44</v>
      </c>
      <c r="K7" s="35" t="s">
        <v>46</v>
      </c>
      <c r="L7" s="35" t="s">
        <v>48</v>
      </c>
      <c r="M7" s="147"/>
      <c r="N7" s="110"/>
    </row>
    <row r="8" spans="1:14" ht="18" customHeight="1">
      <c r="A8" s="60">
        <f>IF(OR($C8="",$J8="X"),"-",RANK($I8,$I$8:$I$22,0))</f>
        <v>1</v>
      </c>
      <c r="B8" s="61">
        <f>IF(C8="","",1)</f>
        <v>1</v>
      </c>
      <c r="C8" s="62" t="str">
        <f>IF(1!$M$4="","",1!$M$4)</f>
        <v>Somollis Gulli</v>
      </c>
      <c r="D8" s="63" t="str">
        <f>IF(1!$M$5="","",1!$M$5)</f>
        <v>v10971/2000</v>
      </c>
      <c r="E8" s="62" t="str">
        <f>IF(1!$M$6="","",1!$M$6)</f>
        <v>Border Collie</v>
      </c>
      <c r="F8" s="62" t="str">
        <f>IF(1!$C$6="","",1!$C$6)</f>
        <v>Stovner HK</v>
      </c>
      <c r="G8" s="103">
        <f>IF(1!$O$39=0,"",1!$O$39)</f>
        <v>253</v>
      </c>
      <c r="H8" s="103">
        <f>IF(1!$O$40=0,"",1!$O$40)</f>
        <v>320</v>
      </c>
      <c r="I8" s="104">
        <f>IF(C8="","",IF($J8="X",(1!$O$41),1!$O$41))</f>
        <v>573</v>
      </c>
      <c r="J8" s="61">
        <f aca="true" t="shared" si="0" ref="J8:J22">IF(OR(C8="",K8="X"),"","X")</f>
      </c>
      <c r="K8" s="61" t="str">
        <f>IF(C8="","",1!$M$43)</f>
        <v>X</v>
      </c>
      <c r="L8" s="64"/>
      <c r="M8" s="65" t="str">
        <f aca="true" t="shared" si="1" ref="M8:M22">IF(A8="-","",IF(A8=1,IF(G8&gt;=210,IF(H8&gt;=232,IF(I8&gt;=520,"X",""),""),""),IF(I8&gt;=585,"X",IF(I8&gt;=520,IF(I8&gt;=(MAX($I$8:$I$22)-10),IF(G8&gt;=210,IF(H8&gt;=232,"X",""),""),""),""))))</f>
        <v>X</v>
      </c>
      <c r="N8" s="66">
        <f>IF(1!$O$43="","",1!$O$43)</f>
      </c>
    </row>
    <row r="9" spans="1:14" ht="18" customHeight="1">
      <c r="A9" s="60">
        <f aca="true" t="shared" si="2" ref="A9:A22">IF(OR($C9="",$J9="X"),"-",RANK($I9,$I$8:$I$22,0))</f>
        <v>2</v>
      </c>
      <c r="B9" s="61">
        <f>IF(C9="","",2)</f>
        <v>2</v>
      </c>
      <c r="C9" s="62" t="str">
        <f>IF(2!$M$4="","",2!$M$4)</f>
        <v>Nbch Tin Tin</v>
      </c>
      <c r="D9" s="63" t="str">
        <f>IF(2!$M$5="","",2!$M$5)</f>
        <v>23791/05</v>
      </c>
      <c r="E9" s="62" t="str">
        <f>IF(2!$M$6="","",2!$M$6)</f>
        <v>Border Collie</v>
      </c>
      <c r="F9" s="62" t="str">
        <f>IF(2!$C$6="","",2!$C$6)</f>
        <v>Nidaros BHK</v>
      </c>
      <c r="G9" s="103">
        <f>IF(2!$O$39=0,"",2!$O$39)</f>
        <v>238.5</v>
      </c>
      <c r="H9" s="103">
        <f>IF(2!$O$40=0,"",2!$O$40)</f>
        <v>299</v>
      </c>
      <c r="I9" s="104">
        <f>IF(C9="","",IF($J9="X",(2!$O$41),2!$O$41))</f>
        <v>537.5</v>
      </c>
      <c r="J9" s="61">
        <f t="shared" si="0"/>
      </c>
      <c r="K9" s="61" t="str">
        <f>IF(C9="","",2!$M$43)</f>
        <v>X</v>
      </c>
      <c r="L9" s="64"/>
      <c r="M9" s="65">
        <f t="shared" si="1"/>
      </c>
      <c r="N9" s="66">
        <f>IF(2!$O$43="","",2!$O$43)</f>
      </c>
    </row>
    <row r="10" spans="1:14" ht="18" customHeight="1">
      <c r="A10" s="60">
        <f t="shared" si="2"/>
        <v>9</v>
      </c>
      <c r="B10" s="61">
        <f>IF(C10="","",3)</f>
        <v>3</v>
      </c>
      <c r="C10" s="62" t="str">
        <f>IF(3!$M$4="","",3!$M$4)</f>
        <v>Kjekkas</v>
      </c>
      <c r="D10" s="63" t="str">
        <f>IF(3!$M$5="","",3!$M$5)</f>
        <v>00720/04</v>
      </c>
      <c r="E10" s="62" t="str">
        <f>IF(3!$M$6="","",3!$M$6)</f>
        <v>Border Collie</v>
      </c>
      <c r="F10" s="62" t="str">
        <f>IF(3!$C$6="","",3!$C$6)</f>
        <v>Voss HK</v>
      </c>
      <c r="G10" s="103">
        <f>IF(3!$O$39=0,"",3!$O$39)</f>
        <v>259</v>
      </c>
      <c r="H10" s="103">
        <f>IF(3!$O$40=0,"",3!$O$40)</f>
        <v>206.25</v>
      </c>
      <c r="I10" s="104">
        <f>IF(C10="","",IF($J10="X",(3!$O$41),3!$O$41))</f>
        <v>465.25</v>
      </c>
      <c r="J10" s="61">
        <f t="shared" si="0"/>
      </c>
      <c r="K10" s="61" t="str">
        <f>IF(C10="","",3!$M$43)</f>
        <v>X</v>
      </c>
      <c r="L10" s="64"/>
      <c r="M10" s="65">
        <f t="shared" si="1"/>
      </c>
      <c r="N10" s="66">
        <f>IF(3!$O$43="","",3!$O$43)</f>
      </c>
    </row>
    <row r="11" spans="1:14" ht="18" customHeight="1">
      <c r="A11" s="60">
        <f t="shared" si="2"/>
        <v>8</v>
      </c>
      <c r="B11" s="61">
        <f>IF(C11="","",4)</f>
        <v>4</v>
      </c>
      <c r="C11" s="62" t="str">
        <f>IF(4!$M$4="","",4!$M$4)</f>
        <v>Hyper</v>
      </c>
      <c r="D11" s="63" t="str">
        <f>IF(4!$M$5="","",4!$M$5)</f>
        <v>21724/07</v>
      </c>
      <c r="E11" s="62" t="str">
        <f>IF(4!$M$6="","",4!$M$6)</f>
        <v>Border Collie</v>
      </c>
      <c r="F11" s="62" t="str">
        <f>IF(4!$C$6="","",4!$C$6)</f>
        <v>Drammen HK</v>
      </c>
      <c r="G11" s="103">
        <f>IF(4!$O$39=0,"",4!$O$39)</f>
        <v>267</v>
      </c>
      <c r="H11" s="103">
        <f>IF(4!$O$40=0,"",4!$O$40)</f>
        <v>203</v>
      </c>
      <c r="I11" s="104">
        <f>IF(C11="","",IF($J11="X",(4!$O$41),4!$O$41))</f>
        <v>470</v>
      </c>
      <c r="J11" s="61">
        <f t="shared" si="0"/>
      </c>
      <c r="K11" s="61" t="str">
        <f>IF(C11="","",4!$M$43)</f>
        <v>X</v>
      </c>
      <c r="L11" s="64"/>
      <c r="M11" s="65">
        <f t="shared" si="1"/>
      </c>
      <c r="N11" s="66">
        <f>IF(4!$O$43="","",4!$O$43)</f>
      </c>
    </row>
    <row r="12" spans="1:14" ht="18" customHeight="1">
      <c r="A12" s="60">
        <f t="shared" si="2"/>
        <v>5</v>
      </c>
      <c r="B12" s="61">
        <f>IF(C12="","",5)</f>
        <v>5</v>
      </c>
      <c r="C12" s="62" t="str">
        <f>IF(5!$M$4="","",5!$M$4)</f>
        <v>NBCH Zagal's Gere</v>
      </c>
      <c r="D12" s="63" t="str">
        <f>IF(5!$M$5="","",5!$M$5)</f>
        <v>13906/01</v>
      </c>
      <c r="E12" s="62" t="str">
        <f>IF(5!$M$6="","",5!$M$6)</f>
        <v>Malinois</v>
      </c>
      <c r="F12" s="62" t="str">
        <f>IF(5!$C$6="","",5!$C$6)</f>
        <v>NBFK</v>
      </c>
      <c r="G12" s="103">
        <f>IF(5!$O$39=0,"",5!$O$39)</f>
        <v>214.25</v>
      </c>
      <c r="H12" s="103">
        <f>IF(5!$O$40=0,"",5!$O$40)</f>
        <v>283.75</v>
      </c>
      <c r="I12" s="104">
        <f>IF(C12="","",IF($J12="X",(5!$O$41),5!$O$41))</f>
        <v>498</v>
      </c>
      <c r="J12" s="61">
        <f t="shared" si="0"/>
      </c>
      <c r="K12" s="61" t="str">
        <f>IF(C12="","",5!$M$43)</f>
        <v>X</v>
      </c>
      <c r="L12" s="64"/>
      <c r="M12" s="65">
        <f t="shared" si="1"/>
      </c>
      <c r="N12" s="66">
        <f>IF(5!$O$43="","",5!$O$43)</f>
      </c>
    </row>
    <row r="13" spans="1:14" ht="18" customHeight="1">
      <c r="A13" s="60">
        <f t="shared" si="2"/>
        <v>4</v>
      </c>
      <c r="B13" s="61">
        <f>IF(C13="","",6)</f>
        <v>6</v>
      </c>
      <c r="C13" s="62" t="str">
        <f>IF(6!$M$4="","",6!$M$4)</f>
        <v>Gresjaskogens Ayzo</v>
      </c>
      <c r="D13" s="63" t="str">
        <f>IF(6!$M$5="","",6!$M$5)</f>
        <v>S14041/2007</v>
      </c>
      <c r="E13" s="62" t="str">
        <f>IF(6!$M$6="","",6!$M$6)</f>
        <v>Kelpie</v>
      </c>
      <c r="F13" s="62" t="str">
        <f>IF(6!$C$6="","",6!$C$6)</f>
        <v>Stovner HK</v>
      </c>
      <c r="G13" s="103">
        <f>IF(6!$O$39=0,"",6!$O$39)</f>
        <v>245.75</v>
      </c>
      <c r="H13" s="103">
        <f>IF(6!$O$40=0,"",6!$O$40)</f>
        <v>253.75</v>
      </c>
      <c r="I13" s="104">
        <f>IF(C13="","",IF($J13="X",(6!$O$41),6!$O$41))</f>
        <v>499.5</v>
      </c>
      <c r="J13" s="61">
        <f t="shared" si="0"/>
      </c>
      <c r="K13" s="61" t="str">
        <f>IF(C13="","",6!$M$43)</f>
        <v>X</v>
      </c>
      <c r="L13" s="64"/>
      <c r="M13" s="65">
        <f t="shared" si="1"/>
      </c>
      <c r="N13" s="66">
        <f>IF(6!$O$43="","",6!$O$43)</f>
      </c>
    </row>
    <row r="14" spans="1:14" ht="18" customHeight="1">
      <c r="A14" s="60">
        <f t="shared" si="2"/>
        <v>3</v>
      </c>
      <c r="B14" s="61">
        <f>IF(C14="","",7)</f>
        <v>7</v>
      </c>
      <c r="C14" s="62" t="str">
        <f>IF(7!$M$4="","",7!$M$4)</f>
        <v>Alx Trassento</v>
      </c>
      <c r="D14" s="63" t="str">
        <f>IF(7!$M$5="","",7!$M$5)</f>
        <v>01141/04</v>
      </c>
      <c r="E14" s="62" t="str">
        <f>IF(7!$M$6="","",7!$M$6)</f>
        <v>Border Collie</v>
      </c>
      <c r="F14" s="62" t="str">
        <f>IF(7!$C$6="","",7!$C$6)</f>
        <v>Kragerø HK</v>
      </c>
      <c r="G14" s="103">
        <f>IF(7!$O$39=0,"",7!$O$39)</f>
        <v>228.5</v>
      </c>
      <c r="H14" s="103">
        <f>IF(7!$O$40=0,"",7!$O$40)</f>
        <v>275.5</v>
      </c>
      <c r="I14" s="104">
        <f>IF(C14="","",IF($J14="X",(7!$O$41),7!$O$41))</f>
        <v>504</v>
      </c>
      <c r="J14" s="61">
        <f t="shared" si="0"/>
      </c>
      <c r="K14" s="61" t="str">
        <f>IF(C14="","",7!$M$43)</f>
        <v>X</v>
      </c>
      <c r="L14" s="64"/>
      <c r="M14" s="65">
        <f t="shared" si="1"/>
      </c>
      <c r="N14" s="66">
        <f>IF(7!$O$43="","",7!$O$43)</f>
      </c>
    </row>
    <row r="15" spans="1:14" ht="18" customHeight="1">
      <c r="A15" s="60">
        <f t="shared" si="2"/>
        <v>7</v>
      </c>
      <c r="B15" s="61">
        <f>IF(C15="","",8)</f>
        <v>8</v>
      </c>
      <c r="C15" s="62" t="str">
        <f>IF(8!$M$4="","",8!$M$4)</f>
        <v>Breakpoint's Harley of Okey</v>
      </c>
      <c r="D15" s="63" t="str">
        <f>IF(8!$M$5="","",8!$M$5)</f>
        <v>S39335/2004</v>
      </c>
      <c r="E15" s="62" t="str">
        <f>IF(8!$M$6="","",8!$M$6)</f>
        <v>Belgisk Fårehund, Groenendael</v>
      </c>
      <c r="F15" s="62" t="str">
        <f>IF(8!$C$6="","",8!$C$6)</f>
        <v>Larvik og omeng hundeklubb</v>
      </c>
      <c r="G15" s="103">
        <f>IF(8!$O$39=0,"",8!$O$39)</f>
        <v>236</v>
      </c>
      <c r="H15" s="103">
        <f>IF(8!$O$40=0,"",8!$O$40)</f>
        <v>234.75</v>
      </c>
      <c r="I15" s="104">
        <f>IF(C15="","",IF($J15="X",(8!$O$41),8!$O$41))</f>
        <v>470.75</v>
      </c>
      <c r="J15" s="61">
        <f t="shared" si="0"/>
      </c>
      <c r="K15" s="61" t="str">
        <f>IF(C15="","",8!$M$43)</f>
        <v>X</v>
      </c>
      <c r="L15" s="64"/>
      <c r="M15" s="65">
        <f t="shared" si="1"/>
      </c>
      <c r="N15" s="66">
        <f>IF(8!$O$43="","",8!$O$43)</f>
      </c>
    </row>
    <row r="16" spans="1:14" ht="18" customHeight="1">
      <c r="A16" s="60">
        <f t="shared" si="2"/>
        <v>11</v>
      </c>
      <c r="B16" s="61">
        <f>IF(C16="","",9)</f>
        <v>9</v>
      </c>
      <c r="C16" s="62" t="str">
        <f>IF(9!$M$4="","",9!$M$4)</f>
        <v>Biko</v>
      </c>
      <c r="D16" s="63" t="str">
        <f>IF(9!$M$5="","",9!$M$5)</f>
        <v>19534/03</v>
      </c>
      <c r="E16" s="62" t="str">
        <f>IF(9!$M$6="","",9!$M$6)</f>
        <v>Border Collie</v>
      </c>
      <c r="F16" s="62" t="str">
        <f>IF(9!$C$6="","",9!$C$6)</f>
        <v>Nidaros BHK</v>
      </c>
      <c r="G16" s="103">
        <f>IF(9!$O$39=0,"",9!$O$39)</f>
        <v>199</v>
      </c>
      <c r="H16" s="103">
        <f>IF(9!$O$40=0,"",9!$O$40)</f>
        <v>225.75</v>
      </c>
      <c r="I16" s="104">
        <f>IF(C16="","",IF($J16="X",(9!$O$41),9!$O$41))</f>
        <v>424.75</v>
      </c>
      <c r="J16" s="61">
        <f t="shared" si="0"/>
      </c>
      <c r="K16" s="61" t="str">
        <f>IF(C16="","",9!$M$43)</f>
        <v>X</v>
      </c>
      <c r="L16" s="64"/>
      <c r="M16" s="65">
        <f t="shared" si="1"/>
      </c>
      <c r="N16" s="66">
        <f>IF(9!$O$43="","",9!$O$43)</f>
      </c>
    </row>
    <row r="17" spans="1:14" ht="18" customHeight="1">
      <c r="A17" s="60">
        <f t="shared" si="2"/>
        <v>12</v>
      </c>
      <c r="B17" s="61">
        <f>IF(C17="","",10)</f>
        <v>10</v>
      </c>
      <c r="C17" s="62" t="str">
        <f>IF('10'!$M$4="","",'10'!$M$4)</f>
        <v>Åbogården's I-Chica</v>
      </c>
      <c r="D17" s="63" t="str">
        <f>IF('10'!$M$5="","",'10'!$M$5)</f>
        <v>00389/03</v>
      </c>
      <c r="E17" s="62" t="str">
        <f>IF('10'!$M$6="","",'10'!$M$6)</f>
        <v>Schæfer</v>
      </c>
      <c r="F17" s="62" t="str">
        <f>IF('10'!$C$6="","",'10'!$C$6)</f>
        <v>Fosen BHK</v>
      </c>
      <c r="G17" s="103">
        <f>IF('10'!$O$39=0,"",'10'!$O$39)</f>
        <v>149.5</v>
      </c>
      <c r="H17" s="103">
        <f>IF('10'!$O$40=0,"",'10'!$O$40)</f>
        <v>229</v>
      </c>
      <c r="I17" s="104">
        <f>IF(C17="","",IF($J17="X",('10'!$O$41),'10'!$O$41))</f>
        <v>378.5</v>
      </c>
      <c r="J17" s="61">
        <f t="shared" si="0"/>
      </c>
      <c r="K17" s="61" t="str">
        <f>IF(C17="","",'10'!$M$43)</f>
        <v>X</v>
      </c>
      <c r="L17" s="64"/>
      <c r="M17" s="65">
        <f t="shared" si="1"/>
      </c>
      <c r="N17" s="66">
        <f>IF('10'!$O$43="","",'10'!$O$43)</f>
      </c>
    </row>
    <row r="18" spans="1:14" ht="18" customHeight="1">
      <c r="A18" s="60" t="str">
        <f t="shared" si="2"/>
        <v>-</v>
      </c>
      <c r="B18" s="61">
        <f>IF(C18="","",11)</f>
        <v>11</v>
      </c>
      <c r="C18" s="62" t="str">
        <f>IF('11'!$M$4="","",'11'!$M$4)</f>
        <v>Tunevannets Olli</v>
      </c>
      <c r="D18" s="63" t="str">
        <f>IF('11'!$M$5="","",'11'!$M$5)</f>
        <v>04747/05</v>
      </c>
      <c r="E18" s="62" t="str">
        <f>IF('11'!$M$6="","",'11'!$M$6)</f>
        <v>Border Collie</v>
      </c>
      <c r="F18" s="62" t="str">
        <f>IF('11'!$C$6="","",'11'!$C$6)</f>
        <v>Sarpsborg HK</v>
      </c>
      <c r="G18" s="103">
        <f>IF('11'!$O$39=0,"",'11'!$O$39)</f>
        <v>223.75</v>
      </c>
      <c r="H18" s="103">
        <f>IF('11'!$O$40=0,"",'11'!$O$40)</f>
        <v>40.5</v>
      </c>
      <c r="I18" s="104">
        <f>IF(C18="","",IF($J18="X",('11'!$O$41),'11'!$O$41))</f>
        <v>264.25</v>
      </c>
      <c r="J18" s="61" t="str">
        <f t="shared" si="0"/>
        <v>X</v>
      </c>
      <c r="K18" s="61">
        <f>IF(C18="","",'11'!$M$43)</f>
      </c>
      <c r="L18" s="64"/>
      <c r="M18" s="65">
        <f t="shared" si="1"/>
      </c>
      <c r="N18" s="66">
        <f>IF('11'!$O$43="","",'11'!$O$43)</f>
      </c>
    </row>
    <row r="19" spans="1:14" ht="18" customHeight="1">
      <c r="A19" s="60">
        <f t="shared" si="2"/>
        <v>10</v>
      </c>
      <c r="B19" s="61">
        <f>IF(C19="","",12)</f>
        <v>12</v>
      </c>
      <c r="C19" s="62" t="str">
        <f>IF('12'!$M$4="","",'12'!$M$4)</f>
        <v>NLch Nbch Mallekraft's Brenda the Brakeless</v>
      </c>
      <c r="D19" s="63" t="str">
        <f>IF('12'!$M$5="","",'12'!$M$5)</f>
        <v>S20734/05</v>
      </c>
      <c r="E19" s="62" t="str">
        <f>IF('12'!$M$6="","",'12'!$M$6)</f>
        <v>Malinois</v>
      </c>
      <c r="F19" s="62" t="str">
        <f>IF('12'!$C$6="","",'12'!$C$6)</f>
        <v>Norsk Belgisk Fårehundklubb</v>
      </c>
      <c r="G19" s="103">
        <f>IF('12'!$O$39=0,"",'12'!$O$39)</f>
        <v>225.25</v>
      </c>
      <c r="H19" s="103">
        <f>IF('12'!$O$40=0,"",'12'!$O$40)</f>
        <v>239.25</v>
      </c>
      <c r="I19" s="104">
        <f>IF(C19="","",IF($J19="X",('12'!$O$41),'12'!$O$41))</f>
        <v>464.5</v>
      </c>
      <c r="J19" s="61">
        <f t="shared" si="0"/>
      </c>
      <c r="K19" s="61" t="str">
        <f>IF(C19="","",'12'!$M$43)</f>
        <v>X</v>
      </c>
      <c r="L19" s="64"/>
      <c r="M19" s="65">
        <f t="shared" si="1"/>
      </c>
      <c r="N19" s="66">
        <f>IF('12'!$O$43="","",'12'!$O$43)</f>
      </c>
    </row>
    <row r="20" spans="1:14" ht="18" customHeight="1">
      <c r="A20" s="60">
        <f t="shared" si="2"/>
        <v>13</v>
      </c>
      <c r="B20" s="61">
        <f>IF(C20="","",13)</f>
        <v>13</v>
      </c>
      <c r="C20" s="62" t="str">
        <f>IF('13'!$M$4="","",'13'!$M$4)</f>
        <v>Kronvallaren E-Tam</v>
      </c>
      <c r="D20" s="63" t="str">
        <f>IF('13'!$M$5="","",'13'!$M$5)</f>
        <v>REGV1098/2005</v>
      </c>
      <c r="E20" s="62" t="str">
        <f>IF('13'!$M$6="","",'13'!$M$6)</f>
        <v>Border Collie</v>
      </c>
      <c r="F20" s="62" t="str">
        <f>IF('13'!$C$6="","",'13'!$C$6)</f>
        <v>Nidaros BHK</v>
      </c>
      <c r="G20" s="103">
        <f>IF('13'!$O$39=0,"",'13'!$O$39)</f>
        <v>174.5</v>
      </c>
      <c r="H20" s="103">
        <f>IF('13'!$O$40=0,"",'13'!$O$40)</f>
        <v>188.5</v>
      </c>
      <c r="I20" s="104">
        <f>IF(C20="","",IF($J20="X",('13'!$O$41),'13'!$O$41))</f>
        <v>363</v>
      </c>
      <c r="J20" s="61">
        <f t="shared" si="0"/>
      </c>
      <c r="K20" s="61" t="str">
        <f>IF(C20="","",'13'!$M$43)</f>
        <v>X</v>
      </c>
      <c r="L20" s="64"/>
      <c r="M20" s="65">
        <f t="shared" si="1"/>
      </c>
      <c r="N20" s="66">
        <f>IF('13'!$O$43="","",'13'!$O$43)</f>
      </c>
    </row>
    <row r="21" spans="1:14" ht="18" customHeight="1">
      <c r="A21" s="60">
        <f t="shared" si="2"/>
        <v>6</v>
      </c>
      <c r="B21" s="61">
        <f>IF(C21="","",14)</f>
        <v>14</v>
      </c>
      <c r="C21" s="62" t="str">
        <f>IF('14'!$M$4="","",'14'!$M$4)</f>
        <v>BH Nbch Brandfjellet's Grå Kiara</v>
      </c>
      <c r="D21" s="63" t="str">
        <f>IF('14'!$M$5="","",'14'!$M$5)</f>
        <v>05919/04</v>
      </c>
      <c r="E21" s="62" t="str">
        <f>IF('14'!$M$6="","",'14'!$M$6)</f>
        <v>Schæfer</v>
      </c>
      <c r="F21" s="62" t="str">
        <f>IF('14'!$C$6="","",'14'!$C$6)</f>
        <v>Nidaros BHK</v>
      </c>
      <c r="G21" s="103">
        <f>IF('14'!$O$39=0,"",'14'!$O$39)</f>
        <v>230</v>
      </c>
      <c r="H21" s="103">
        <f>IF('14'!$O$40=0,"",'14'!$O$40)</f>
        <v>262</v>
      </c>
      <c r="I21" s="104">
        <f>IF(C21="","",IF($J21="X",('14'!$O$41),'14'!$O$41))</f>
        <v>492</v>
      </c>
      <c r="J21" s="61">
        <f t="shared" si="0"/>
      </c>
      <c r="K21" s="61" t="str">
        <f>IF(C21="","",'14'!$M$43)</f>
        <v>X</v>
      </c>
      <c r="L21" s="64"/>
      <c r="M21" s="65">
        <f t="shared" si="1"/>
      </c>
      <c r="N21" s="66">
        <f>IF('14'!$O$43="","",'14'!$O$43)</f>
      </c>
    </row>
    <row r="22" spans="1:14" ht="18" customHeight="1" thickBot="1">
      <c r="A22" s="60" t="str">
        <f t="shared" si="2"/>
        <v>-</v>
      </c>
      <c r="B22" s="67">
        <f>IF(C22="","",15)</f>
      </c>
      <c r="C22" s="68">
        <f>IF('15'!$M$4="","",'15'!$M$4)</f>
      </c>
      <c r="D22" s="69" t="str">
        <f>IF('14'!$M$5="","",'14'!$M$5)</f>
        <v>05919/04</v>
      </c>
      <c r="E22" s="68">
        <f>IF('15'!$M$6="","",'15'!$M$6)</f>
      </c>
      <c r="F22" s="68">
        <f>IF('15'!$C$6="","",'15'!$C$6)</f>
      </c>
      <c r="G22" s="105">
        <f>IF('15'!$O$39=0,"",'15'!$O$39)</f>
      </c>
      <c r="H22" s="105">
        <f>IF('15'!$O$40=0,"",'15'!$O$40)</f>
      </c>
      <c r="I22" s="106">
        <f>IF(C22="","",IF($J22="X",('15'!$O$41),'15'!$O$41))</f>
      </c>
      <c r="J22" s="70">
        <f t="shared" si="0"/>
      </c>
      <c r="K22" s="70">
        <f>IF(C22="","",'15'!$M$43)</f>
      </c>
      <c r="L22" s="71"/>
      <c r="M22" s="72">
        <f t="shared" si="1"/>
      </c>
      <c r="N22" s="73">
        <f>IF('15'!$O$43="","",'15'!$O$43)</f>
      </c>
    </row>
    <row r="23" spans="1:14" ht="12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34" t="s">
        <v>57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</row>
    <row r="25" spans="1:14" ht="38.25" customHeight="1" thickBo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</row>
    <row r="26" spans="1:14" ht="12.75">
      <c r="A26" s="36" t="s">
        <v>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33" t="s">
        <v>80</v>
      </c>
      <c r="M26" s="133"/>
      <c r="N26" s="133"/>
    </row>
  </sheetData>
  <sheetProtection password="CDEC" sheet="1" objects="1" scenarios="1"/>
  <mergeCells count="22">
    <mergeCell ref="A25:N25"/>
    <mergeCell ref="L26:N26"/>
    <mergeCell ref="A24:N24"/>
    <mergeCell ref="H2:J3"/>
    <mergeCell ref="L2:N3"/>
    <mergeCell ref="M6:M7"/>
    <mergeCell ref="A1:N1"/>
    <mergeCell ref="H4:J4"/>
    <mergeCell ref="M4:N4"/>
    <mergeCell ref="K4:L4"/>
    <mergeCell ref="A2:B2"/>
    <mergeCell ref="A3:B3"/>
    <mergeCell ref="A4:B4"/>
    <mergeCell ref="C2:D2"/>
    <mergeCell ref="C3:F3"/>
    <mergeCell ref="C4:F4"/>
    <mergeCell ref="N6:N7"/>
    <mergeCell ref="A6:A7"/>
    <mergeCell ref="C6:C7"/>
    <mergeCell ref="E6:E7"/>
    <mergeCell ref="F6:F7"/>
    <mergeCell ref="D6:D7"/>
  </mergeCells>
  <conditionalFormatting sqref="I21">
    <cfRule type="expression" priority="1" dxfId="0" stopIfTrue="1">
      <formula>$J$21="x"</formula>
    </cfRule>
  </conditionalFormatting>
  <conditionalFormatting sqref="I8:I9">
    <cfRule type="expression" priority="2" dxfId="0" stopIfTrue="1">
      <formula>$J$9="x"</formula>
    </cfRule>
  </conditionalFormatting>
  <conditionalFormatting sqref="I10">
    <cfRule type="expression" priority="3" dxfId="0" stopIfTrue="1">
      <formula>$J$10="x"</formula>
    </cfRule>
  </conditionalFormatting>
  <conditionalFormatting sqref="I11">
    <cfRule type="expression" priority="4" dxfId="0" stopIfTrue="1">
      <formula>$J$11="x"</formula>
    </cfRule>
  </conditionalFormatting>
  <conditionalFormatting sqref="I12">
    <cfRule type="expression" priority="5" dxfId="0" stopIfTrue="1">
      <formula>$J$12="x"</formula>
    </cfRule>
  </conditionalFormatting>
  <conditionalFormatting sqref="I13">
    <cfRule type="expression" priority="6" dxfId="0" stopIfTrue="1">
      <formula>$J$13="x"</formula>
    </cfRule>
  </conditionalFormatting>
  <conditionalFormatting sqref="I14">
    <cfRule type="expression" priority="7" dxfId="0" stopIfTrue="1">
      <formula>$J$14="x"</formula>
    </cfRule>
  </conditionalFormatting>
  <conditionalFormatting sqref="I15">
    <cfRule type="expression" priority="8" dxfId="0" stopIfTrue="1">
      <formula>$J$15="x"</formula>
    </cfRule>
  </conditionalFormatting>
  <conditionalFormatting sqref="I16">
    <cfRule type="expression" priority="9" dxfId="0" stopIfTrue="1">
      <formula>$J$16="x"</formula>
    </cfRule>
  </conditionalFormatting>
  <conditionalFormatting sqref="I17">
    <cfRule type="expression" priority="10" dxfId="0" stopIfTrue="1">
      <formula>$J$17="x"</formula>
    </cfRule>
  </conditionalFormatting>
  <conditionalFormatting sqref="I18">
    <cfRule type="expression" priority="11" dxfId="0" stopIfTrue="1">
      <formula>$J$18="x"</formula>
    </cfRule>
  </conditionalFormatting>
  <conditionalFormatting sqref="I19">
    <cfRule type="expression" priority="12" dxfId="0" stopIfTrue="1">
      <formula>$J$19="x"</formula>
    </cfRule>
  </conditionalFormatting>
  <conditionalFormatting sqref="I20">
    <cfRule type="expression" priority="13" dxfId="0" stopIfTrue="1">
      <formula>$J$20="x"</formula>
    </cfRule>
  </conditionalFormatting>
  <conditionalFormatting sqref="I22">
    <cfRule type="expression" priority="14" dxfId="0" stopIfTrue="1">
      <formula>$J$22="x"</formula>
    </cfRule>
  </conditionalFormatting>
  <printOptions/>
  <pageMargins left="0.5118110236220472" right="0.5118110236220472" top="0.5118110236220472" bottom="0.5118110236220472" header="0.5118110236220472" footer="0.5118110236220472"/>
  <pageSetup horizontalDpi="1200" verticalDpi="1200" orientation="landscape" paperSize="9" scale="99" r:id="rId4"/>
  <colBreaks count="1" manualBreakCount="1">
    <brk id="14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3">
      <selection activeCell="H19" sqref="H1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Resultatskj!B15</f>
        <v>8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99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100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140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101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139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8.5</v>
      </c>
      <c r="H9" s="88">
        <v>8</v>
      </c>
      <c r="I9" s="93">
        <f>IF(G9="","",IF(H9="","",(G9+H9)/2))</f>
        <v>8.25</v>
      </c>
      <c r="J9" s="95">
        <f>IF(I9="","",I9*F9)</f>
        <v>33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5</v>
      </c>
      <c r="H10" s="88">
        <v>6</v>
      </c>
      <c r="I10" s="93">
        <f aca="true" t="shared" si="0" ref="I10:I17">IF(G10="","",IF(H10="","",(G10+H10)/2))</f>
        <v>5.5</v>
      </c>
      <c r="J10" s="95">
        <f aca="true" t="shared" si="1" ref="J10:J18">IF(I10="","",I10*F10)</f>
        <v>22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8</v>
      </c>
      <c r="H11" s="88">
        <v>8</v>
      </c>
      <c r="I11" s="93">
        <f t="shared" si="0"/>
        <v>8</v>
      </c>
      <c r="J11" s="95">
        <f t="shared" si="1"/>
        <v>32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8</v>
      </c>
      <c r="H12" s="88">
        <v>8</v>
      </c>
      <c r="I12" s="93">
        <f t="shared" si="0"/>
        <v>8</v>
      </c>
      <c r="J12" s="95">
        <f t="shared" si="1"/>
        <v>32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5</v>
      </c>
      <c r="H13" s="88">
        <v>5</v>
      </c>
      <c r="I13" s="93">
        <f t="shared" si="0"/>
        <v>5</v>
      </c>
      <c r="J13" s="95">
        <f t="shared" si="1"/>
        <v>10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10</v>
      </c>
      <c r="H14" s="88">
        <v>9.5</v>
      </c>
      <c r="I14" s="93">
        <f t="shared" si="0"/>
        <v>9.75</v>
      </c>
      <c r="J14" s="95">
        <f t="shared" si="1"/>
        <v>19.5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8.5</v>
      </c>
      <c r="H15" s="88">
        <v>8.5</v>
      </c>
      <c r="I15" s="93">
        <f t="shared" si="0"/>
        <v>8.5</v>
      </c>
      <c r="J15" s="95">
        <f t="shared" si="1"/>
        <v>17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8</v>
      </c>
      <c r="H16" s="88">
        <v>8</v>
      </c>
      <c r="I16" s="93">
        <f t="shared" si="0"/>
        <v>8</v>
      </c>
      <c r="J16" s="95">
        <f t="shared" si="1"/>
        <v>24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10</v>
      </c>
      <c r="H17" s="88">
        <v>9.5</v>
      </c>
      <c r="I17" s="93">
        <f t="shared" si="0"/>
        <v>9.75</v>
      </c>
      <c r="J17" s="95">
        <f t="shared" si="1"/>
        <v>19.5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9</v>
      </c>
      <c r="H18" s="88">
        <v>9</v>
      </c>
      <c r="I18" s="93">
        <f>IF(G18="","",IF(H18="","",(G18+H18)/2))</f>
        <v>9</v>
      </c>
      <c r="J18" s="95">
        <f t="shared" si="1"/>
        <v>27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236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6.5</v>
      </c>
      <c r="H28" s="88">
        <v>6.5</v>
      </c>
      <c r="I28" s="93">
        <f>IF(G28="","",IF(H28="","",(G28+H28)/2))</f>
        <v>6.5</v>
      </c>
      <c r="J28" s="95">
        <f>IF(I28="","",I28*F28)</f>
        <v>39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6.5</v>
      </c>
      <c r="H29" s="88">
        <v>7</v>
      </c>
      <c r="I29" s="93">
        <f>IF(G29="","",IF(H29="","",(G29+H29)/2))</f>
        <v>6.75</v>
      </c>
      <c r="J29" s="95">
        <f>IF(I29="","",I29*F29)</f>
        <v>195.75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234.75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236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234.75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470.75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Resultatskj!M15</f>
      </c>
      <c r="O43" s="45"/>
      <c r="P43" s="38">
        <f>Resultatskj!A15</f>
        <v>7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O38:P38"/>
    <mergeCell ref="B39:E39"/>
    <mergeCell ref="E32:J32"/>
    <mergeCell ref="A38:E38"/>
    <mergeCell ref="L38:N38"/>
    <mergeCell ref="C32:D32"/>
    <mergeCell ref="E36:J36"/>
    <mergeCell ref="E35:J35"/>
    <mergeCell ref="A26:P26"/>
    <mergeCell ref="K28:P28"/>
    <mergeCell ref="K27:P27"/>
    <mergeCell ref="L35:N35"/>
    <mergeCell ref="K30:P30"/>
    <mergeCell ref="E33:J33"/>
    <mergeCell ref="E34:J34"/>
    <mergeCell ref="K29:P29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5:B5"/>
    <mergeCell ref="C5:J5"/>
    <mergeCell ref="K5:L5"/>
    <mergeCell ref="M5:P5"/>
    <mergeCell ref="A4:B4"/>
    <mergeCell ref="C4:J4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B40:E40"/>
    <mergeCell ref="A41:E41"/>
    <mergeCell ref="L41:N41"/>
    <mergeCell ref="L39:N39"/>
    <mergeCell ref="O41:P41"/>
    <mergeCell ref="O40:P40"/>
    <mergeCell ref="L40:N40"/>
    <mergeCell ref="O39:P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9">
      <selection activeCell="G30" sqref="G30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Resultatskj!B16</f>
        <v>9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102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103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128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89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9</v>
      </c>
      <c r="H9" s="88">
        <v>9</v>
      </c>
      <c r="I9" s="93">
        <f>IF(G9="","",IF(H9="","",(G9+H9)/2))</f>
        <v>9</v>
      </c>
      <c r="J9" s="95">
        <f>IF(I9="","",I9*F9)</f>
        <v>36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8</v>
      </c>
      <c r="H10" s="88">
        <v>0</v>
      </c>
      <c r="I10" s="93">
        <f aca="true" t="shared" si="0" ref="I10:I17">IF(G10="","",IF(H10="","",(G10+H10)/2))</f>
        <v>4</v>
      </c>
      <c r="J10" s="95">
        <f aca="true" t="shared" si="1" ref="J10:J18">IF(I10="","",I10*F10)</f>
        <v>16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7</v>
      </c>
      <c r="H11" s="88">
        <v>7</v>
      </c>
      <c r="I11" s="93">
        <f t="shared" si="0"/>
        <v>7</v>
      </c>
      <c r="J11" s="95">
        <f t="shared" si="1"/>
        <v>28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8.5</v>
      </c>
      <c r="I12" s="93">
        <f t="shared" si="0"/>
        <v>8.75</v>
      </c>
      <c r="J12" s="95">
        <f t="shared" si="1"/>
        <v>35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9.5</v>
      </c>
      <c r="H13" s="88">
        <v>10</v>
      </c>
      <c r="I13" s="93">
        <f t="shared" si="0"/>
        <v>9.75</v>
      </c>
      <c r="J13" s="95">
        <f t="shared" si="1"/>
        <v>19.5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10</v>
      </c>
      <c r="H14" s="88">
        <v>9.5</v>
      </c>
      <c r="I14" s="93">
        <f t="shared" si="0"/>
        <v>9.75</v>
      </c>
      <c r="J14" s="95">
        <f t="shared" si="1"/>
        <v>19.5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9</v>
      </c>
      <c r="H15" s="88">
        <v>9.5</v>
      </c>
      <c r="I15" s="93">
        <f t="shared" si="0"/>
        <v>9.25</v>
      </c>
      <c r="J15" s="95">
        <f t="shared" si="1"/>
        <v>18.5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5</v>
      </c>
      <c r="H16" s="88">
        <v>0</v>
      </c>
      <c r="I16" s="93">
        <f t="shared" si="0"/>
        <v>2.5</v>
      </c>
      <c r="J16" s="95">
        <f t="shared" si="1"/>
        <v>7.5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9.5</v>
      </c>
      <c r="I17" s="93">
        <f t="shared" si="0"/>
        <v>9.5</v>
      </c>
      <c r="J17" s="95">
        <f t="shared" si="1"/>
        <v>19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0</v>
      </c>
      <c r="H18" s="88">
        <v>0</v>
      </c>
      <c r="I18" s="93">
        <f>IF(G18="","",IF(H18="","",(G18+H18)/2))</f>
        <v>0</v>
      </c>
      <c r="J18" s="95">
        <f t="shared" si="1"/>
        <v>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199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5</v>
      </c>
      <c r="H28" s="88">
        <v>5</v>
      </c>
      <c r="I28" s="93">
        <f>IF(G28="","",IF(H28="","",(G28+H28)/2))</f>
        <v>5</v>
      </c>
      <c r="J28" s="95">
        <f>IF(I28="","",I28*F28)</f>
        <v>30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6.5</v>
      </c>
      <c r="H29" s="88">
        <v>7</v>
      </c>
      <c r="I29" s="93">
        <f>IF(G29="","",IF(H29="","",(G29+H29)/2))</f>
        <v>6.75</v>
      </c>
      <c r="J29" s="95">
        <f>IF(I29="","",I29*F29)</f>
        <v>195.75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225.75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199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225.75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424.75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Resultatskj!M16</f>
      </c>
      <c r="O43" s="45"/>
      <c r="P43" s="38">
        <f>Resultatskj!A16</f>
        <v>11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L44:P44"/>
    <mergeCell ref="B40:E40"/>
    <mergeCell ref="A41:E41"/>
    <mergeCell ref="L41:N41"/>
    <mergeCell ref="O41:P41"/>
    <mergeCell ref="O40:P40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7">
      <selection activeCell="I18" sqref="I18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Resultatskj!B17</f>
        <v>10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143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104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129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105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106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8</v>
      </c>
      <c r="H9" s="88">
        <v>7.5</v>
      </c>
      <c r="I9" s="93">
        <f>IF(G9="","",IF(H9="","",(G9+H9)/2))</f>
        <v>7.75</v>
      </c>
      <c r="J9" s="95">
        <f>IF(I9="","",I9*F9)</f>
        <v>31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0</v>
      </c>
      <c r="H10" s="88">
        <v>0</v>
      </c>
      <c r="I10" s="93">
        <f aca="true" t="shared" si="0" ref="I10:I17">IF(G10="","",IF(H10="","",(G10+H10)/2))</f>
        <v>0</v>
      </c>
      <c r="J10" s="95">
        <f aca="true" t="shared" si="1" ref="J10:J18">IF(I10="","",I10*F10)</f>
        <v>0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8</v>
      </c>
      <c r="H12" s="88">
        <v>8</v>
      </c>
      <c r="I12" s="93">
        <f t="shared" si="0"/>
        <v>8</v>
      </c>
      <c r="J12" s="95">
        <f t="shared" si="1"/>
        <v>32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0</v>
      </c>
      <c r="H13" s="88">
        <v>0</v>
      </c>
      <c r="I13" s="93">
        <f t="shared" si="0"/>
        <v>0</v>
      </c>
      <c r="J13" s="95">
        <f t="shared" si="1"/>
        <v>0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0</v>
      </c>
      <c r="H14" s="88">
        <v>0</v>
      </c>
      <c r="I14" s="93">
        <f t="shared" si="0"/>
        <v>0</v>
      </c>
      <c r="J14" s="95">
        <f t="shared" si="1"/>
        <v>0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</v>
      </c>
      <c r="H15" s="88">
        <v>8</v>
      </c>
      <c r="I15" s="93">
        <f t="shared" si="0"/>
        <v>8</v>
      </c>
      <c r="J15" s="95">
        <f t="shared" si="1"/>
        <v>16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8</v>
      </c>
      <c r="H16" s="88">
        <v>8</v>
      </c>
      <c r="I16" s="93">
        <f t="shared" si="0"/>
        <v>8</v>
      </c>
      <c r="J16" s="95">
        <f t="shared" si="1"/>
        <v>24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8</v>
      </c>
      <c r="H17" s="88">
        <v>8.5</v>
      </c>
      <c r="I17" s="93">
        <f t="shared" si="0"/>
        <v>8.25</v>
      </c>
      <c r="J17" s="95">
        <f t="shared" si="1"/>
        <v>16.5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149.5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7</v>
      </c>
      <c r="H28" s="88">
        <v>6.5</v>
      </c>
      <c r="I28" s="93">
        <f>IF(G28="","",IF(H28="","",(G28+H28)/2))</f>
        <v>6.75</v>
      </c>
      <c r="J28" s="95">
        <f>IF(I28="","",I28*F28)</f>
        <v>40.5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6.5</v>
      </c>
      <c r="H29" s="88">
        <v>6.5</v>
      </c>
      <c r="I29" s="93">
        <f>IF(G29="","",IF(H29="","",(G29+H29)/2))</f>
        <v>6.5</v>
      </c>
      <c r="J29" s="95">
        <f>IF(I29="","",I29*F29)</f>
        <v>188.5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229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149.5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229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378.5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Resultatskj!M17</f>
      </c>
      <c r="O43" s="45"/>
      <c r="P43" s="38">
        <f>Resultatskj!A17</f>
        <v>12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O38:P38"/>
    <mergeCell ref="B39:E39"/>
    <mergeCell ref="E32:J32"/>
    <mergeCell ref="A38:E38"/>
    <mergeCell ref="L38:N38"/>
    <mergeCell ref="C32:D32"/>
    <mergeCell ref="E36:J36"/>
    <mergeCell ref="E35:J35"/>
    <mergeCell ref="A26:P26"/>
    <mergeCell ref="K28:P28"/>
    <mergeCell ref="K27:P27"/>
    <mergeCell ref="L35:N35"/>
    <mergeCell ref="K30:P30"/>
    <mergeCell ref="E33:J33"/>
    <mergeCell ref="E34:J34"/>
    <mergeCell ref="K29:P29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5:B5"/>
    <mergeCell ref="C5:J5"/>
    <mergeCell ref="K5:L5"/>
    <mergeCell ref="M5:P5"/>
    <mergeCell ref="A4:B4"/>
    <mergeCell ref="C4:J4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B40:E40"/>
    <mergeCell ref="A41:E41"/>
    <mergeCell ref="L41:N41"/>
    <mergeCell ref="L39:N39"/>
    <mergeCell ref="O41:P41"/>
    <mergeCell ref="O40:P40"/>
    <mergeCell ref="L40:N40"/>
    <mergeCell ref="O39:P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7">
      <selection activeCell="P2" sqref="P2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Resultatskj!B18</f>
        <v>11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107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108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130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109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9</v>
      </c>
      <c r="H9" s="88">
        <v>8</v>
      </c>
      <c r="I9" s="93">
        <f>IF(G9="","",IF(H9="","",(G9+H9)/2))</f>
        <v>8.5</v>
      </c>
      <c r="J9" s="95">
        <f>IF(I9="","",I9*F9)</f>
        <v>34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7</v>
      </c>
      <c r="H10" s="88">
        <v>8.5</v>
      </c>
      <c r="I10" s="93">
        <f aca="true" t="shared" si="0" ref="I10:I17">IF(G10="","",IF(H10="","",(G10+H10)/2))</f>
        <v>7.75</v>
      </c>
      <c r="J10" s="95">
        <f aca="true" t="shared" si="1" ref="J10:J18">IF(I10="","",I10*F10)</f>
        <v>31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9.5</v>
      </c>
      <c r="I12" s="93">
        <f t="shared" si="0"/>
        <v>9.25</v>
      </c>
      <c r="J12" s="95">
        <f t="shared" si="1"/>
        <v>37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9</v>
      </c>
      <c r="H13" s="88">
        <v>9</v>
      </c>
      <c r="I13" s="93">
        <f t="shared" si="0"/>
        <v>9</v>
      </c>
      <c r="J13" s="95">
        <f t="shared" si="1"/>
        <v>18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6</v>
      </c>
      <c r="H14" s="88">
        <v>7</v>
      </c>
      <c r="I14" s="93">
        <f t="shared" si="0"/>
        <v>6.5</v>
      </c>
      <c r="J14" s="95">
        <f t="shared" si="1"/>
        <v>13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</v>
      </c>
      <c r="H15" s="88">
        <v>8</v>
      </c>
      <c r="I15" s="93">
        <f t="shared" si="0"/>
        <v>8</v>
      </c>
      <c r="J15" s="95">
        <f t="shared" si="1"/>
        <v>16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9</v>
      </c>
      <c r="H16" s="88">
        <v>8.5</v>
      </c>
      <c r="I16" s="93">
        <f t="shared" si="0"/>
        <v>8.75</v>
      </c>
      <c r="J16" s="95">
        <f t="shared" si="1"/>
        <v>26.25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9</v>
      </c>
      <c r="I17" s="93">
        <f t="shared" si="0"/>
        <v>9.25</v>
      </c>
      <c r="J17" s="95">
        <f t="shared" si="1"/>
        <v>18.5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223.75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6.5</v>
      </c>
      <c r="H28" s="88">
        <v>7</v>
      </c>
      <c r="I28" s="93">
        <f>IF(G28="","",IF(H28="","",(G28+H28)/2))</f>
        <v>6.75</v>
      </c>
      <c r="J28" s="95">
        <f>IF(I28="","",I28*F28)</f>
        <v>40.5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0</v>
      </c>
      <c r="H29" s="88">
        <v>0</v>
      </c>
      <c r="I29" s="93">
        <f>IF(G29="","",IF(H29="","",(G29+H29)/2))</f>
        <v>0</v>
      </c>
      <c r="J29" s="95">
        <f>IF(I29="","",I29*F29)</f>
        <v>0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40.5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223.75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40.5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264.25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 t="str">
        <f>IF(OR(O41&lt;O32,O40&lt;O33,O41=""),"X","")</f>
        <v>X</v>
      </c>
      <c r="M43" s="21">
        <f>IF(AND(O41&gt;=O32,O40&gt;=O33,L43=""),"X","")</f>
      </c>
      <c r="N43" s="37">
        <f>Resultatskj!M18</f>
      </c>
      <c r="O43" s="45"/>
      <c r="P43" s="38" t="str">
        <f>Resultatskj!A18</f>
        <v>-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L44:P44"/>
    <mergeCell ref="B40:E40"/>
    <mergeCell ref="A41:E41"/>
    <mergeCell ref="L41:N41"/>
    <mergeCell ref="O41:P41"/>
    <mergeCell ref="O40:P40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0">
      <selection activeCell="C5" sqref="C5:J5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Resultatskj!B19</f>
        <v>12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110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142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131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111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95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7.5</v>
      </c>
      <c r="H9" s="88">
        <v>8</v>
      </c>
      <c r="I9" s="93">
        <f>IF(G9="","",IF(H9="","",(G9+H9)/2))</f>
        <v>7.75</v>
      </c>
      <c r="J9" s="95">
        <f>IF(I9="","",I9*F9)</f>
        <v>31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8</v>
      </c>
      <c r="H10" s="88">
        <v>8.5</v>
      </c>
      <c r="I10" s="93">
        <f aca="true" t="shared" si="0" ref="I10:I17">IF(G10="","",IF(H10="","",(G10+H10)/2))</f>
        <v>8.25</v>
      </c>
      <c r="J10" s="95">
        <f aca="true" t="shared" si="1" ref="J10:J18">IF(I10="","",I10*F10)</f>
        <v>33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5.5</v>
      </c>
      <c r="H11" s="88">
        <v>0</v>
      </c>
      <c r="I11" s="93">
        <f t="shared" si="0"/>
        <v>2.75</v>
      </c>
      <c r="J11" s="95">
        <f t="shared" si="1"/>
        <v>11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7</v>
      </c>
      <c r="H12" s="88">
        <v>7</v>
      </c>
      <c r="I12" s="93">
        <f t="shared" si="0"/>
        <v>7</v>
      </c>
      <c r="J12" s="95">
        <f t="shared" si="1"/>
        <v>28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7.5</v>
      </c>
      <c r="H13" s="88">
        <v>7</v>
      </c>
      <c r="I13" s="93">
        <f t="shared" si="0"/>
        <v>7.25</v>
      </c>
      <c r="J13" s="95">
        <f t="shared" si="1"/>
        <v>14.5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8</v>
      </c>
      <c r="H14" s="88">
        <v>7.5</v>
      </c>
      <c r="I14" s="93">
        <f t="shared" si="0"/>
        <v>7.75</v>
      </c>
      <c r="J14" s="95">
        <f t="shared" si="1"/>
        <v>15.5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9</v>
      </c>
      <c r="H15" s="88">
        <v>8</v>
      </c>
      <c r="I15" s="93">
        <f t="shared" si="0"/>
        <v>8.5</v>
      </c>
      <c r="J15" s="95">
        <f t="shared" si="1"/>
        <v>17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9</v>
      </c>
      <c r="H16" s="88">
        <v>8.5</v>
      </c>
      <c r="I16" s="93">
        <f t="shared" si="0"/>
        <v>8.75</v>
      </c>
      <c r="J16" s="95">
        <f t="shared" si="1"/>
        <v>26.25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9.5</v>
      </c>
      <c r="I17" s="93">
        <f t="shared" si="0"/>
        <v>9.5</v>
      </c>
      <c r="J17" s="95">
        <f t="shared" si="1"/>
        <v>19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225.25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0</v>
      </c>
      <c r="H28" s="88">
        <v>0</v>
      </c>
      <c r="I28" s="93">
        <f>IF(G28="","",IF(H28="","",(G28+H28)/2))</f>
        <v>0</v>
      </c>
      <c r="J28" s="95">
        <f>IF(I28="","",I28*F28)</f>
        <v>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8.5</v>
      </c>
      <c r="H29" s="88">
        <v>8</v>
      </c>
      <c r="I29" s="93">
        <f>IF(G29="","",IF(H29="","",(G29+H29)/2))</f>
        <v>8.25</v>
      </c>
      <c r="J29" s="95">
        <f>IF(I29="","",I29*F29)</f>
        <v>239.25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239.25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225.25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239.25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464.5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Resultatskj!M19</f>
      </c>
      <c r="O43" s="45"/>
      <c r="P43" s="38">
        <f>Resultatskj!A19</f>
        <v>10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O38:P38"/>
    <mergeCell ref="B39:E39"/>
    <mergeCell ref="E32:J32"/>
    <mergeCell ref="A38:E38"/>
    <mergeCell ref="L38:N38"/>
    <mergeCell ref="C32:D32"/>
    <mergeCell ref="E36:J36"/>
    <mergeCell ref="E35:J35"/>
    <mergeCell ref="A26:P26"/>
    <mergeCell ref="K28:P28"/>
    <mergeCell ref="K27:P27"/>
    <mergeCell ref="L35:N35"/>
    <mergeCell ref="K30:P30"/>
    <mergeCell ref="E33:J33"/>
    <mergeCell ref="E34:J34"/>
    <mergeCell ref="K29:P29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5:B5"/>
    <mergeCell ref="C5:J5"/>
    <mergeCell ref="K5:L5"/>
    <mergeCell ref="M5:P5"/>
    <mergeCell ref="A4:B4"/>
    <mergeCell ref="C4:J4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B40:E40"/>
    <mergeCell ref="A41:E41"/>
    <mergeCell ref="L41:N41"/>
    <mergeCell ref="L39:N39"/>
    <mergeCell ref="O41:P41"/>
    <mergeCell ref="O40:P40"/>
    <mergeCell ref="L40:N40"/>
    <mergeCell ref="O39:P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7">
      <selection activeCell="K9" sqref="K9:P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Resultatskj!B20</f>
        <v>13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132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114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133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89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9</v>
      </c>
      <c r="H9" s="88">
        <v>7.5</v>
      </c>
      <c r="I9" s="93">
        <f>IF(G9="","",IF(H9="","",(G9+H9)/2))</f>
        <v>8.25</v>
      </c>
      <c r="J9" s="95">
        <f>IF(I9="","",I9*F9)</f>
        <v>33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0</v>
      </c>
      <c r="H10" s="88">
        <v>0</v>
      </c>
      <c r="I10" s="93">
        <f aca="true" t="shared" si="0" ref="I10:I17">IF(G10="","",IF(H10="","",(G10+H10)/2))</f>
        <v>0</v>
      </c>
      <c r="J10" s="95">
        <f aca="true" t="shared" si="1" ref="J10:J18">IF(I10="","",I10*F10)</f>
        <v>0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8</v>
      </c>
      <c r="H12" s="88">
        <v>8.5</v>
      </c>
      <c r="I12" s="93">
        <f t="shared" si="0"/>
        <v>8.25</v>
      </c>
      <c r="J12" s="95">
        <f t="shared" si="1"/>
        <v>33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7.5</v>
      </c>
      <c r="H13" s="88">
        <v>8</v>
      </c>
      <c r="I13" s="93">
        <f t="shared" si="0"/>
        <v>7.75</v>
      </c>
      <c r="J13" s="95">
        <f t="shared" si="1"/>
        <v>15.5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5</v>
      </c>
      <c r="H14" s="88">
        <v>0</v>
      </c>
      <c r="I14" s="93">
        <f t="shared" si="0"/>
        <v>2.5</v>
      </c>
      <c r="J14" s="95">
        <f t="shared" si="1"/>
        <v>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7</v>
      </c>
      <c r="H15" s="88">
        <v>8</v>
      </c>
      <c r="I15" s="93">
        <f t="shared" si="0"/>
        <v>7.5</v>
      </c>
      <c r="J15" s="95">
        <f t="shared" si="1"/>
        <v>15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8</v>
      </c>
      <c r="H16" s="88">
        <v>8</v>
      </c>
      <c r="I16" s="93">
        <f t="shared" si="0"/>
        <v>8</v>
      </c>
      <c r="J16" s="95">
        <f t="shared" si="1"/>
        <v>24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</v>
      </c>
      <c r="H17" s="88">
        <v>10</v>
      </c>
      <c r="I17" s="93">
        <f t="shared" si="0"/>
        <v>9.5</v>
      </c>
      <c r="J17" s="95">
        <f t="shared" si="1"/>
        <v>19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174.5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0</v>
      </c>
      <c r="H28" s="88">
        <v>0</v>
      </c>
      <c r="I28" s="93">
        <f>IF(G28="","",IF(H28="","",(G28+H28)/2))</f>
        <v>0</v>
      </c>
      <c r="J28" s="95">
        <f>IF(I28="","",I28*F28)</f>
        <v>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7</v>
      </c>
      <c r="H29" s="88">
        <v>6</v>
      </c>
      <c r="I29" s="93">
        <f>IF(G29="","",IF(H29="","",(G29+H29)/2))</f>
        <v>6.5</v>
      </c>
      <c r="J29" s="95">
        <f>IF(I29="","",I29*F29)</f>
        <v>188.5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188.5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174.5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188.5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363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Resultatskj!M20</f>
      </c>
      <c r="O43" s="45"/>
      <c r="P43" s="38">
        <f>Resultatskj!A20</f>
        <v>13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L44:P44"/>
    <mergeCell ref="B40:E40"/>
    <mergeCell ref="A41:E41"/>
    <mergeCell ref="L41:N41"/>
    <mergeCell ref="O41:P41"/>
    <mergeCell ref="O40:P40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">
      <selection activeCell="G30" sqref="G30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Resultatskj!B21</f>
        <v>14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112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113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134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89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106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8</v>
      </c>
      <c r="H9" s="88">
        <v>9</v>
      </c>
      <c r="I9" s="93">
        <f>IF(G9="","",IF(H9="","",(G9+H9)/2))</f>
        <v>8.5</v>
      </c>
      <c r="J9" s="95">
        <f>IF(I9="","",I9*F9)</f>
        <v>34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8</v>
      </c>
      <c r="H10" s="88">
        <v>8</v>
      </c>
      <c r="I10" s="93">
        <f aca="true" t="shared" si="0" ref="I10:I17">IF(G10="","",IF(H10="","",(G10+H10)/2))</f>
        <v>8</v>
      </c>
      <c r="J10" s="95">
        <f aca="true" t="shared" si="1" ref="J10:J18">IF(I10="","",I10*F10)</f>
        <v>32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6</v>
      </c>
      <c r="H11" s="88">
        <v>0</v>
      </c>
      <c r="I11" s="93">
        <f t="shared" si="0"/>
        <v>3</v>
      </c>
      <c r="J11" s="95">
        <f t="shared" si="1"/>
        <v>12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8</v>
      </c>
      <c r="H12" s="88">
        <v>7</v>
      </c>
      <c r="I12" s="93">
        <f t="shared" si="0"/>
        <v>7.5</v>
      </c>
      <c r="J12" s="95">
        <f t="shared" si="1"/>
        <v>30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10</v>
      </c>
      <c r="H13" s="88">
        <v>9.5</v>
      </c>
      <c r="I13" s="93">
        <f t="shared" si="0"/>
        <v>9.75</v>
      </c>
      <c r="J13" s="95">
        <f t="shared" si="1"/>
        <v>19.5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9.5</v>
      </c>
      <c r="H14" s="88">
        <v>10</v>
      </c>
      <c r="I14" s="93">
        <f t="shared" si="0"/>
        <v>9.75</v>
      </c>
      <c r="J14" s="95">
        <f t="shared" si="1"/>
        <v>19.5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</v>
      </c>
      <c r="H15" s="88">
        <v>8</v>
      </c>
      <c r="I15" s="93">
        <f t="shared" si="0"/>
        <v>8</v>
      </c>
      <c r="J15" s="95">
        <f t="shared" si="1"/>
        <v>16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6</v>
      </c>
      <c r="H16" s="88">
        <v>6</v>
      </c>
      <c r="I16" s="93">
        <f t="shared" si="0"/>
        <v>6</v>
      </c>
      <c r="J16" s="95">
        <f t="shared" si="1"/>
        <v>18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9.5</v>
      </c>
      <c r="I17" s="93">
        <f t="shared" si="0"/>
        <v>9.5</v>
      </c>
      <c r="J17" s="95">
        <f t="shared" si="1"/>
        <v>19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230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5</v>
      </c>
      <c r="H28" s="88">
        <v>5</v>
      </c>
      <c r="I28" s="93">
        <f>IF(G28="","",IF(H28="","",(G28+H28)/2))</f>
        <v>5</v>
      </c>
      <c r="J28" s="95">
        <f>IF(I28="","",I28*F28)</f>
        <v>30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8</v>
      </c>
      <c r="H29" s="88">
        <v>8</v>
      </c>
      <c r="I29" s="93">
        <f>IF(G29="","",IF(H29="","",(G29+H29)/2))</f>
        <v>8</v>
      </c>
      <c r="J29" s="95">
        <f>IF(I29="","",I29*F29)</f>
        <v>232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262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230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262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492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Resultatskj!M21</f>
      </c>
      <c r="O43" s="45"/>
      <c r="P43" s="38">
        <f>Resultatskj!A21</f>
        <v>6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O38:P38"/>
    <mergeCell ref="B39:E39"/>
    <mergeCell ref="E32:J32"/>
    <mergeCell ref="A38:E38"/>
    <mergeCell ref="L38:N38"/>
    <mergeCell ref="C32:D32"/>
    <mergeCell ref="E36:J36"/>
    <mergeCell ref="E35:J35"/>
    <mergeCell ref="A26:P26"/>
    <mergeCell ref="K28:P28"/>
    <mergeCell ref="K27:P27"/>
    <mergeCell ref="L35:N35"/>
    <mergeCell ref="K30:P30"/>
    <mergeCell ref="E33:J33"/>
    <mergeCell ref="E34:J34"/>
    <mergeCell ref="K29:P29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5:B5"/>
    <mergeCell ref="C5:J5"/>
    <mergeCell ref="K5:L5"/>
    <mergeCell ref="M5:P5"/>
    <mergeCell ref="A4:B4"/>
    <mergeCell ref="C4:J4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B40:E40"/>
    <mergeCell ref="A41:E41"/>
    <mergeCell ref="L41:N41"/>
    <mergeCell ref="L39:N39"/>
    <mergeCell ref="O41:P41"/>
    <mergeCell ref="O40:P40"/>
    <mergeCell ref="L40:N40"/>
    <mergeCell ref="O39:P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">
      <selection activeCell="K12" sqref="K12:P12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v>15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/>
      <c r="N4" s="232"/>
      <c r="O4" s="232"/>
      <c r="P4" s="233"/>
    </row>
    <row r="5" spans="1:16" ht="15.75">
      <c r="A5" s="180" t="str">
        <f>1!A5:B5</f>
        <v>Fører:</v>
      </c>
      <c r="B5" s="181"/>
      <c r="C5" s="230"/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/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/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/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/>
      <c r="H9" s="88"/>
      <c r="I9" s="93">
        <f>IF(G9="","",IF(H9="","",(G9+H9)/2))</f>
      </c>
      <c r="J9" s="95">
        <f>IF(I9="","",I9*F9)</f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/>
      <c r="H10" s="88"/>
      <c r="I10" s="93">
        <f aca="true" t="shared" si="0" ref="I10:I17">IF(G10="","",IF(H10="","",(G10+H10)/2))</f>
      </c>
      <c r="J10" s="95">
        <f aca="true" t="shared" si="1" ref="J10:J18">IF(I10="","",I10*F10)</f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/>
      <c r="H11" s="88"/>
      <c r="I11" s="93">
        <f t="shared" si="0"/>
      </c>
      <c r="J11" s="95">
        <f t="shared" si="1"/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/>
      <c r="H12" s="88"/>
      <c r="I12" s="93">
        <f t="shared" si="0"/>
      </c>
      <c r="J12" s="95">
        <f t="shared" si="1"/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/>
      <c r="H13" s="88"/>
      <c r="I13" s="93">
        <f t="shared" si="0"/>
      </c>
      <c r="J13" s="95">
        <f t="shared" si="1"/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/>
      <c r="H14" s="88"/>
      <c r="I14" s="93">
        <f t="shared" si="0"/>
      </c>
      <c r="J14" s="95">
        <f t="shared" si="1"/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/>
      <c r="H15" s="88"/>
      <c r="I15" s="93">
        <f t="shared" si="0"/>
      </c>
      <c r="J15" s="95">
        <f t="shared" si="1"/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/>
      <c r="H16" s="88"/>
      <c r="I16" s="93">
        <f t="shared" si="0"/>
      </c>
      <c r="J16" s="95">
        <f t="shared" si="1"/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/>
      <c r="H17" s="88"/>
      <c r="I17" s="93">
        <f t="shared" si="0"/>
      </c>
      <c r="J17" s="95">
        <f t="shared" si="1"/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/>
      <c r="H18" s="88"/>
      <c r="I18" s="93">
        <f>IF(G18="","",IF(H18="","",(G18+H18)/2))</f>
      </c>
      <c r="J18" s="95">
        <f t="shared" si="1"/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0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/>
      <c r="H28" s="88"/>
      <c r="I28" s="93">
        <f>IF(G28="","",IF(H28="","",(G28+H28)/2))</f>
      </c>
      <c r="J28" s="95">
        <f>IF(I28="","",I28*F28)</f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/>
      <c r="H29" s="88"/>
      <c r="I29" s="93">
        <f>IF(G29="","",IF(H29="","",(G29+H29)/2))</f>
      </c>
      <c r="J29" s="95">
        <f>IF(I29="","",I29*F29)</f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0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0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 t="str">
        <f>IF(OR(O41&lt;O32,O40&lt;O33,O41=""),"X","")</f>
        <v>X</v>
      </c>
      <c r="M43" s="21">
        <f>IF(AND(O41&gt;=O32,O40&gt;=O33,L43=""),"X","")</f>
      </c>
      <c r="N43" s="37">
        <f>Resultatskj!M22</f>
      </c>
      <c r="O43" s="45"/>
      <c r="P43" s="38" t="str">
        <f>Resultatskj!A22</f>
        <v>-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L44:P44"/>
    <mergeCell ref="B40:E40"/>
    <mergeCell ref="A41:E41"/>
    <mergeCell ref="L41:N41"/>
    <mergeCell ref="O41:P41"/>
    <mergeCell ref="O40:P40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SheetLayoutView="85" zoomScalePageLayoutView="0" workbookViewId="0" topLeftCell="A4">
      <selection activeCell="C8" sqref="C8"/>
    </sheetView>
  </sheetViews>
  <sheetFormatPr defaultColWidth="11.421875" defaultRowHeight="12.75"/>
  <cols>
    <col min="1" max="1" width="6.28125" style="0" customWidth="1"/>
    <col min="2" max="2" width="4.7109375" style="0" customWidth="1"/>
    <col min="3" max="3" width="28.28125" style="0" customWidth="1"/>
    <col min="4" max="4" width="26.7109375" style="0" customWidth="1"/>
    <col min="5" max="5" width="11.8515625" style="0" customWidth="1"/>
    <col min="6" max="6" width="13.7109375" style="0" customWidth="1"/>
    <col min="7" max="7" width="25.00390625" style="0" customWidth="1"/>
    <col min="8" max="10" width="7.7109375" style="0" customWidth="1"/>
    <col min="11" max="15" width="5.7109375" style="0" customWidth="1"/>
  </cols>
  <sheetData>
    <row r="1" spans="1:15" ht="59.25" customHeight="1" thickBo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8.75" customHeight="1">
      <c r="A2" s="123" t="s">
        <v>0</v>
      </c>
      <c r="B2" s="124"/>
      <c r="C2" s="150" t="str">
        <f>IF(Resultatskj!$C$2="","",Resultatskj!$C$2)</f>
        <v>Salten Brukshundklubb</v>
      </c>
      <c r="D2" s="150"/>
      <c r="E2" s="151"/>
      <c r="F2" s="53" t="s">
        <v>53</v>
      </c>
      <c r="G2" s="54" t="str">
        <f>IF(Resultatskj!$F$2="","",Resultatskj!$F$2)</f>
        <v>83-10063</v>
      </c>
      <c r="H2" s="26" t="s">
        <v>54</v>
      </c>
      <c r="I2" s="156" t="str">
        <f>IF(Resultatskj!$H$2="","",Resultatskj!$H$2)</f>
        <v>Fauske</v>
      </c>
      <c r="J2" s="156"/>
      <c r="K2" s="157"/>
      <c r="L2" s="55" t="s">
        <v>35</v>
      </c>
      <c r="M2" s="160">
        <f>IF(Resultatskj!$L$2="","",Resultatskj!$L$2)</f>
        <v>40411</v>
      </c>
      <c r="N2" s="161"/>
      <c r="O2" s="162"/>
    </row>
    <row r="3" spans="1:15" ht="18.75" customHeight="1">
      <c r="A3" s="125" t="s">
        <v>37</v>
      </c>
      <c r="B3" s="126"/>
      <c r="C3" s="152" t="str">
        <f>IF(Resultatskj!$C$3="","",Resultatskj!$C$3)</f>
        <v>Johnny Knutsen, Arvid Strømsvik, Terje Pedersen</v>
      </c>
      <c r="D3" s="152"/>
      <c r="E3" s="152"/>
      <c r="F3" s="152"/>
      <c r="G3" s="153"/>
      <c r="H3" s="27"/>
      <c r="I3" s="158"/>
      <c r="J3" s="158"/>
      <c r="K3" s="159"/>
      <c r="L3" s="56"/>
      <c r="M3" s="163"/>
      <c r="N3" s="163"/>
      <c r="O3" s="164"/>
    </row>
    <row r="4" spans="1:15" ht="18.75" thickBot="1">
      <c r="A4" s="127" t="s">
        <v>37</v>
      </c>
      <c r="B4" s="122"/>
      <c r="C4" s="154" t="str">
        <f>IF(Resultatskj!$C$4="","",Resultatskj!$C$4)</f>
        <v>Tor Tetli, Arild Djupvik og Kristoffer Modell</v>
      </c>
      <c r="D4" s="154"/>
      <c r="E4" s="154"/>
      <c r="F4" s="154"/>
      <c r="G4" s="155"/>
      <c r="H4" s="28" t="s">
        <v>34</v>
      </c>
      <c r="I4" s="167" t="str">
        <f>IF(Resultatskj!$H$4="","",Resultatskj!$H$4)</f>
        <v>Rundering</v>
      </c>
      <c r="J4" s="168"/>
      <c r="K4" s="168"/>
      <c r="L4" s="169" t="s">
        <v>56</v>
      </c>
      <c r="M4" s="170"/>
      <c r="N4" s="119" t="s">
        <v>11</v>
      </c>
      <c r="O4" s="120"/>
    </row>
    <row r="5" spans="1:15" ht="12" customHeight="1" thickBot="1">
      <c r="A5" s="29"/>
      <c r="B5" s="29"/>
      <c r="C5" s="29"/>
      <c r="D5" s="23"/>
      <c r="E5" s="23"/>
      <c r="F5" s="23"/>
      <c r="G5" s="23"/>
      <c r="H5" s="29"/>
      <c r="I5" s="30"/>
      <c r="J5" s="30"/>
      <c r="K5" s="30"/>
      <c r="L5" s="29"/>
      <c r="M5" s="29"/>
      <c r="N5" s="31"/>
      <c r="O5" s="31"/>
    </row>
    <row r="6" spans="1:15" ht="12.75">
      <c r="A6" s="165" t="s">
        <v>38</v>
      </c>
      <c r="B6" s="32" t="s">
        <v>51</v>
      </c>
      <c r="C6" s="148" t="s">
        <v>76</v>
      </c>
      <c r="D6" s="113" t="s">
        <v>31</v>
      </c>
      <c r="E6" s="113" t="s">
        <v>32</v>
      </c>
      <c r="F6" s="113" t="s">
        <v>33</v>
      </c>
      <c r="G6" s="113" t="s">
        <v>2</v>
      </c>
      <c r="H6" s="33" t="s">
        <v>18</v>
      </c>
      <c r="I6" s="33" t="s">
        <v>18</v>
      </c>
      <c r="J6" s="33" t="s">
        <v>41</v>
      </c>
      <c r="K6" s="33" t="s">
        <v>43</v>
      </c>
      <c r="L6" s="33" t="s">
        <v>45</v>
      </c>
      <c r="M6" s="33" t="s">
        <v>47</v>
      </c>
      <c r="N6" s="146" t="s">
        <v>49</v>
      </c>
      <c r="O6" s="109" t="s">
        <v>50</v>
      </c>
    </row>
    <row r="7" spans="1:15" ht="12.75">
      <c r="A7" s="166"/>
      <c r="B7" s="34" t="s">
        <v>52</v>
      </c>
      <c r="C7" s="149"/>
      <c r="D7" s="114"/>
      <c r="E7" s="114"/>
      <c r="F7" s="114"/>
      <c r="G7" s="114"/>
      <c r="H7" s="35" t="s">
        <v>39</v>
      </c>
      <c r="I7" s="35" t="s">
        <v>40</v>
      </c>
      <c r="J7" s="35" t="s">
        <v>42</v>
      </c>
      <c r="K7" s="35" t="s">
        <v>44</v>
      </c>
      <c r="L7" s="35" t="s">
        <v>46</v>
      </c>
      <c r="M7" s="35" t="s">
        <v>48</v>
      </c>
      <c r="N7" s="147"/>
      <c r="O7" s="110"/>
    </row>
    <row r="8" spans="1:15" ht="18" customHeight="1">
      <c r="A8" s="74" t="str">
        <f aca="true" t="shared" si="0" ref="A8:A22">IF(OR($D8=""),"-",RANK($J8,$J$8:$J$22,0))</f>
        <v>-</v>
      </c>
      <c r="B8" s="6">
        <f>IF(D8="","",15)</f>
      </c>
      <c r="C8" s="75">
        <f>IF('15'!$C$5:$J$5="","",'15'!$C$5:$J$5)</f>
      </c>
      <c r="D8" s="76">
        <f>IF('15'!$M$4="","",'15'!$M$4)</f>
      </c>
      <c r="E8" s="77"/>
      <c r="F8" s="76">
        <f>IF('15'!$M$6="","",'15'!$M$6)</f>
      </c>
      <c r="G8" s="76">
        <f>IF('15'!$C$6="","",'15'!$C$6)</f>
      </c>
      <c r="H8" s="99">
        <f>IF('15'!$O$39=0,"",'15'!$O$39)</f>
      </c>
      <c r="I8" s="99">
        <f>IF('15'!$O$40=0,"",'15'!$O$40)</f>
      </c>
      <c r="J8" s="100">
        <f>IF(D8="","",IF($K8="X",('15'!$O$41),'15'!$O$41))</f>
      </c>
      <c r="K8" s="6">
        <f aca="true" t="shared" si="1" ref="K8:K22">IF(OR(D8="",L8="X"),"","X")</f>
      </c>
      <c r="L8" s="6">
        <f>IF(D8="","",'15'!$M$43)</f>
      </c>
      <c r="M8" s="78"/>
      <c r="N8" s="79">
        <f aca="true" t="shared" si="2" ref="N8:N22">IF(A8="-","",IF(A8=1,IF(H8&gt;=210,IF(I8&gt;=232,IF(J8&gt;=520,"X",""),""),""),IF(J8&gt;=585,"X",IF(J8&gt;=520,IF(J8&gt;=(MAX($J$8:$J$22)-10),IF(H8&gt;=210,IF(I8&gt;=232,"X",""),""),""),""))))</f>
      </c>
      <c r="O8" s="80">
        <f>IF('15'!$O$43="","",'15'!$O$43)</f>
      </c>
    </row>
    <row r="9" spans="1:15" ht="18" customHeight="1">
      <c r="A9" s="74">
        <f t="shared" si="0"/>
        <v>1</v>
      </c>
      <c r="B9" s="6">
        <v>1</v>
      </c>
      <c r="C9" s="75" t="str">
        <f>IF(1!$C$5:$J$5="","",1!$C$5:$J$5)</f>
        <v>Turid Stavn</v>
      </c>
      <c r="D9" s="76" t="str">
        <f>IF(1!$M$4="","",1!$M$4)</f>
        <v>Somollis Gulli</v>
      </c>
      <c r="E9" s="77" t="str">
        <f>IF(1!$M$5="","",1!$M$5)</f>
        <v>v10971/2000</v>
      </c>
      <c r="F9" s="76" t="str">
        <f>IF(1!$M$6="","",1!$M$6)</f>
        <v>Border Collie</v>
      </c>
      <c r="G9" s="76" t="str">
        <f>IF(1!$C$6="","",1!$C$6)</f>
        <v>Stovner HK</v>
      </c>
      <c r="H9" s="99">
        <f>IF(1!$O$39=0,"",1!$O$39)</f>
        <v>253</v>
      </c>
      <c r="I9" s="99">
        <f>IF(1!$O$40=0,"",1!$O$40)</f>
        <v>320</v>
      </c>
      <c r="J9" s="100">
        <f>IF(D9="","",IF($K9="X",(1!$O$41),1!$O$41))</f>
        <v>573</v>
      </c>
      <c r="K9" s="6">
        <f t="shared" si="1"/>
      </c>
      <c r="L9" s="6" t="str">
        <f>IF(D9="","",1!$M$43)</f>
        <v>X</v>
      </c>
      <c r="M9" s="78"/>
      <c r="N9" s="79" t="str">
        <f t="shared" si="2"/>
        <v>X</v>
      </c>
      <c r="O9" s="80">
        <f>IF(1!$O$43="","",1!$O$43)</f>
      </c>
    </row>
    <row r="10" spans="1:15" ht="18" customHeight="1">
      <c r="A10" s="74">
        <f t="shared" si="0"/>
        <v>2</v>
      </c>
      <c r="B10" s="6">
        <f>IF(D10="","",2)</f>
        <v>2</v>
      </c>
      <c r="C10" s="75" t="str">
        <f>IF(2!$C$5:$J$5="","",2!$C$5:$J$5)</f>
        <v>Toril V Pedersen</v>
      </c>
      <c r="D10" s="76" t="str">
        <f>IF(2!$M$4="","",2!$M$4)</f>
        <v>Nbch Tin Tin</v>
      </c>
      <c r="E10" s="77" t="str">
        <f>IF(2!$M$5="","",2!$M$5)</f>
        <v>23791/05</v>
      </c>
      <c r="F10" s="76" t="str">
        <f>IF(2!$M$6="","",2!$M$6)</f>
        <v>Border Collie</v>
      </c>
      <c r="G10" s="76" t="str">
        <f>IF(2!$C$6="","",2!$C$6)</f>
        <v>Nidaros BHK</v>
      </c>
      <c r="H10" s="99">
        <f>IF(2!$O$39=0,"",2!$O$39)</f>
        <v>238.5</v>
      </c>
      <c r="I10" s="99">
        <f>IF(2!$O$40=0,"",2!$O$40)</f>
        <v>299</v>
      </c>
      <c r="J10" s="100">
        <f>IF(D10="","",IF($K10="X",(2!$O$41),2!$O$41))</f>
        <v>537.5</v>
      </c>
      <c r="K10" s="6">
        <f t="shared" si="1"/>
      </c>
      <c r="L10" s="6" t="str">
        <f>IF(D10="","",2!$M$43)</f>
        <v>X</v>
      </c>
      <c r="M10" s="78"/>
      <c r="N10" s="79">
        <f t="shared" si="2"/>
      </c>
      <c r="O10" s="80">
        <f>IF(2!$O$43="","",2!$O$43)</f>
      </c>
    </row>
    <row r="11" spans="1:15" ht="18" customHeight="1">
      <c r="A11" s="74">
        <f t="shared" si="0"/>
        <v>3</v>
      </c>
      <c r="B11" s="6">
        <f>IF(D11="","",7)</f>
        <v>7</v>
      </c>
      <c r="C11" s="75" t="str">
        <f>IF(7!$C$5:$J$5="","",7!$C$5:$J$5)</f>
        <v>Jane Pedersen</v>
      </c>
      <c r="D11" s="76" t="str">
        <f>IF(7!$M$4="","",7!$M$4)</f>
        <v>Alx Trassento</v>
      </c>
      <c r="E11" s="77" t="str">
        <f>IF(7!$M$5="","",7!$M$5)</f>
        <v>01141/04</v>
      </c>
      <c r="F11" s="76" t="str">
        <f>IF(7!$M$6="","",7!$M$6)</f>
        <v>Border Collie</v>
      </c>
      <c r="G11" s="76" t="str">
        <f>IF(7!$C$6="","",7!$C$6)</f>
        <v>Kragerø HK</v>
      </c>
      <c r="H11" s="99">
        <f>IF(7!$O$39=0,"",7!$O$39)</f>
        <v>228.5</v>
      </c>
      <c r="I11" s="99">
        <f>IF(7!$O$40=0,"",7!$O$40)</f>
        <v>275.5</v>
      </c>
      <c r="J11" s="100">
        <f>IF(D11="","",IF($K11="X",(7!$O$41),7!$O$41))</f>
        <v>504</v>
      </c>
      <c r="K11" s="6">
        <f t="shared" si="1"/>
      </c>
      <c r="L11" s="6" t="str">
        <f>IF(D11="","",7!$M$43)</f>
        <v>X</v>
      </c>
      <c r="M11" s="78"/>
      <c r="N11" s="79">
        <f t="shared" si="2"/>
      </c>
      <c r="O11" s="80">
        <f>IF(7!$O$43="","",7!$O$43)</f>
      </c>
    </row>
    <row r="12" spans="1:15" ht="18" customHeight="1">
      <c r="A12" s="74">
        <f t="shared" si="0"/>
        <v>4</v>
      </c>
      <c r="B12" s="6">
        <v>5</v>
      </c>
      <c r="C12" s="75" t="str">
        <f>IF(6!$C$5:$J$5="","",6!$C$5:$J$5)</f>
        <v>Hilde Nordlie</v>
      </c>
      <c r="D12" s="76" t="str">
        <f>IF(6!$M$4="","",6!$M$4)</f>
        <v>Gresjaskogens Ayzo</v>
      </c>
      <c r="E12" s="77" t="str">
        <f>IF(6!$M$5="","",6!$M$5)</f>
        <v>S14041/2007</v>
      </c>
      <c r="F12" s="76" t="str">
        <f>IF(6!$M$6="","",6!$M$6)</f>
        <v>Kelpie</v>
      </c>
      <c r="G12" s="76" t="str">
        <f>IF(6!$C$6="","",6!$C$6)</f>
        <v>Stovner HK</v>
      </c>
      <c r="H12" s="99">
        <f>IF(6!$O$39=0,"",6!$O$39)</f>
        <v>245.75</v>
      </c>
      <c r="I12" s="99">
        <f>IF(6!$O$40=0,"",6!$O$40)</f>
        <v>253.75</v>
      </c>
      <c r="J12" s="100">
        <f>IF(D12="","",IF($K12="X",(6!$O$41),6!$O$41))</f>
        <v>499.5</v>
      </c>
      <c r="K12" s="6">
        <f t="shared" si="1"/>
      </c>
      <c r="L12" s="6" t="str">
        <f>IF(D12="","",6!$M$43)</f>
        <v>X</v>
      </c>
      <c r="M12" s="78"/>
      <c r="N12" s="79">
        <f t="shared" si="2"/>
      </c>
      <c r="O12" s="80">
        <f>IF(6!$O$43="","",6!$O$43)</f>
      </c>
    </row>
    <row r="13" spans="1:15" ht="18" customHeight="1">
      <c r="A13" s="74">
        <f t="shared" si="0"/>
        <v>5</v>
      </c>
      <c r="B13" s="6">
        <v>4</v>
      </c>
      <c r="C13" s="75" t="str">
        <f>IF(5!$C$5:$J$5="","",5!$C$5:$J$5)</f>
        <v>Marit Brevik</v>
      </c>
      <c r="D13" s="76" t="str">
        <f>IF(5!$M$4="","",5!$M$4)</f>
        <v>NBCH Zagal's Gere</v>
      </c>
      <c r="E13" s="77" t="str">
        <f>IF(5!$M$5="","",5!$M$5)</f>
        <v>13906/01</v>
      </c>
      <c r="F13" s="76" t="str">
        <f>IF(5!$M$6="","",5!$M$6)</f>
        <v>Malinois</v>
      </c>
      <c r="G13" s="76" t="str">
        <f>IF(5!$C$6="","",5!$C$6)</f>
        <v>NBFK</v>
      </c>
      <c r="H13" s="99">
        <f>IF(5!$O$39=0,"",5!$O$39)</f>
        <v>214.25</v>
      </c>
      <c r="I13" s="99">
        <f>IF(5!$O$40=0,"",5!$O$40)</f>
        <v>283.75</v>
      </c>
      <c r="J13" s="100">
        <f>IF(D13="","",IF($K13="X",(5!$O$41),5!$O$41))</f>
        <v>498</v>
      </c>
      <c r="K13" s="6">
        <f t="shared" si="1"/>
      </c>
      <c r="L13" s="6" t="str">
        <f>IF(D13="","",5!$M$43)</f>
        <v>X</v>
      </c>
      <c r="M13" s="78"/>
      <c r="N13" s="79">
        <f t="shared" si="2"/>
      </c>
      <c r="O13" s="80">
        <f>IF(5!$O$43="","",5!$O$43)</f>
      </c>
    </row>
    <row r="14" spans="1:15" ht="18" customHeight="1">
      <c r="A14" s="74">
        <f t="shared" si="0"/>
        <v>6</v>
      </c>
      <c r="B14" s="6">
        <f>IF(D14="","",14)</f>
        <v>14</v>
      </c>
      <c r="C14" s="75" t="str">
        <f>IF('14'!$C$5:$J$5="","",'14'!$C$5:$J$5)</f>
        <v>Elisabeth Pedersen</v>
      </c>
      <c r="D14" s="76" t="str">
        <f>IF('14'!$M$4="","",'14'!$M$4)</f>
        <v>BH Nbch Brandfjellet's Grå Kiara</v>
      </c>
      <c r="E14" s="77" t="str">
        <f>IF('14'!$M$5="","",'14'!$M$5)</f>
        <v>05919/04</v>
      </c>
      <c r="F14" s="76" t="str">
        <f>IF('14'!$M$6="","",'14'!$M$6)</f>
        <v>Schæfer</v>
      </c>
      <c r="G14" s="76" t="str">
        <f>IF('14'!$C$6="","",'14'!$C$6)</f>
        <v>Nidaros BHK</v>
      </c>
      <c r="H14" s="99">
        <f>IF('14'!$O$39=0,"",'14'!$O$39)</f>
        <v>230</v>
      </c>
      <c r="I14" s="99">
        <f>IF('14'!$O$40=0,"",'14'!$O$40)</f>
        <v>262</v>
      </c>
      <c r="J14" s="100">
        <f>IF(D14="","",IF($K14="X",('14'!$O$41),'14'!$O$41))</f>
        <v>492</v>
      </c>
      <c r="K14" s="6">
        <f t="shared" si="1"/>
      </c>
      <c r="L14" s="6" t="str">
        <f>IF(D14="","",'14'!$M$43)</f>
        <v>X</v>
      </c>
      <c r="M14" s="78"/>
      <c r="N14" s="79">
        <f t="shared" si="2"/>
      </c>
      <c r="O14" s="80">
        <f>IF('14'!$O$43="","",'14'!$O$43)</f>
      </c>
    </row>
    <row r="15" spans="1:15" ht="18" customHeight="1">
      <c r="A15" s="74">
        <f t="shared" si="0"/>
        <v>7</v>
      </c>
      <c r="B15" s="6">
        <f>IF(D15="","",8)</f>
        <v>8</v>
      </c>
      <c r="C15" s="75" t="str">
        <f>IF(8!$C$5:$J$5="","",8!$C$5:$J$5)</f>
        <v>Per Arne Bakke</v>
      </c>
      <c r="D15" s="76" t="str">
        <f>IF(8!$M$4="","",8!$M$4)</f>
        <v>Breakpoint's Harley of Okey</v>
      </c>
      <c r="E15" s="77" t="str">
        <f>IF(8!$M$5="","",8!$M$5)</f>
        <v>S39335/2004</v>
      </c>
      <c r="F15" s="76" t="str">
        <f>IF(8!$M$6="","",8!$M$6)</f>
        <v>Belgisk Fårehund, Groenendael</v>
      </c>
      <c r="G15" s="76" t="str">
        <f>IF(8!$C$6="","",8!$C$6)</f>
        <v>Larvik og omeng hundeklubb</v>
      </c>
      <c r="H15" s="99">
        <f>IF(8!$O$39=0,"",8!$O$39)</f>
        <v>236</v>
      </c>
      <c r="I15" s="99">
        <f>IF(8!$O$40=0,"",8!$O$40)</f>
        <v>234.75</v>
      </c>
      <c r="J15" s="100">
        <f>IF(D15="","",IF($K15="X",(8!$O$41),8!$O$41))</f>
        <v>470.75</v>
      </c>
      <c r="K15" s="6">
        <f t="shared" si="1"/>
      </c>
      <c r="L15" s="6" t="str">
        <f>IF(D15="","",8!$M$43)</f>
        <v>X</v>
      </c>
      <c r="M15" s="78"/>
      <c r="N15" s="79">
        <f t="shared" si="2"/>
      </c>
      <c r="O15" s="80">
        <f>IF(8!$O$43="","",8!$O$43)</f>
      </c>
    </row>
    <row r="16" spans="1:15" ht="18" customHeight="1">
      <c r="A16" s="74">
        <f t="shared" si="0"/>
        <v>8</v>
      </c>
      <c r="B16" s="6">
        <v>3</v>
      </c>
      <c r="C16" s="75" t="str">
        <f>IF(4!$C$5:$J$5="","",4!$C$5:$J$5)</f>
        <v>Finn - Hugo Øien</v>
      </c>
      <c r="D16" s="76" t="str">
        <f>IF(4!$M$4="","",4!$M$4)</f>
        <v>Hyper</v>
      </c>
      <c r="E16" s="77" t="str">
        <f>IF(4!$M$5="","",4!$M$5)</f>
        <v>21724/07</v>
      </c>
      <c r="F16" s="76" t="str">
        <f>IF(4!$M$6="","",4!$M$6)</f>
        <v>Border Collie</v>
      </c>
      <c r="G16" s="76" t="str">
        <f>IF(4!$C$6="","",4!$C$6)</f>
        <v>Drammen HK</v>
      </c>
      <c r="H16" s="99">
        <f>IF(4!$O$39=0,"",4!$O$39)</f>
        <v>267</v>
      </c>
      <c r="I16" s="99">
        <f>IF(4!$O$40=0,"",4!$O$40)</f>
        <v>203</v>
      </c>
      <c r="J16" s="100">
        <f>IF(D16="","",IF($K16="X",(4!$O$41),4!$O$41))</f>
        <v>470</v>
      </c>
      <c r="K16" s="6">
        <f t="shared" si="1"/>
      </c>
      <c r="L16" s="6" t="str">
        <f>IF(D16="","",4!$M$43)</f>
        <v>X</v>
      </c>
      <c r="M16" s="78"/>
      <c r="N16" s="79">
        <f t="shared" si="2"/>
      </c>
      <c r="O16" s="80">
        <f>IF(4!$O$43="","",4!$O$43)</f>
      </c>
    </row>
    <row r="17" spans="1:15" ht="18" customHeight="1">
      <c r="A17" s="74">
        <f t="shared" si="0"/>
        <v>9</v>
      </c>
      <c r="B17" s="6">
        <v>6</v>
      </c>
      <c r="C17" s="75" t="str">
        <f>IF(3!$C$5:$J$5="","",3!$C$5:$J$5)</f>
        <v>Erling Aarbakke</v>
      </c>
      <c r="D17" s="76" t="str">
        <f>IF(3!$M$4="","",3!$M$4)</f>
        <v>Kjekkas</v>
      </c>
      <c r="E17" s="77" t="str">
        <f>IF(3!$M$5="","",3!$M$5)</f>
        <v>00720/04</v>
      </c>
      <c r="F17" s="76" t="str">
        <f>IF(3!$M$6="","",3!$M$6)</f>
        <v>Border Collie</v>
      </c>
      <c r="G17" s="76" t="str">
        <f>IF(3!$C$6="","",3!$C$6)</f>
        <v>Voss HK</v>
      </c>
      <c r="H17" s="99">
        <f>IF(3!$O$39=0,"",3!$O$39)</f>
        <v>259</v>
      </c>
      <c r="I17" s="99">
        <f>IF(3!$O$40=0,"",3!$O$40)</f>
        <v>206.25</v>
      </c>
      <c r="J17" s="100">
        <f>IF(D17="","",IF($K17="X",(3!$O$41),3!$O$41))</f>
        <v>465.25</v>
      </c>
      <c r="K17" s="6">
        <f t="shared" si="1"/>
      </c>
      <c r="L17" s="6" t="str">
        <f>IF(D17="","",3!$M$43)</f>
        <v>X</v>
      </c>
      <c r="M17" s="78"/>
      <c r="N17" s="79">
        <f t="shared" si="2"/>
      </c>
      <c r="O17" s="80">
        <f>IF(3!$O$43="","",3!$O$43)</f>
      </c>
    </row>
    <row r="18" spans="1:15" ht="18" customHeight="1">
      <c r="A18" s="74">
        <f t="shared" si="0"/>
        <v>10</v>
      </c>
      <c r="B18" s="6">
        <v>12</v>
      </c>
      <c r="C18" s="75" t="str">
        <f>IF('12'!$C$5:$J$5="","",'12'!$C$5:$J$5)</f>
        <v>Torild Hansen Tunge</v>
      </c>
      <c r="D18" s="76" t="str">
        <f>IF('12'!$M$4="","",'12'!$M$4)</f>
        <v>NLch Nbch Mallekraft's Brenda the Brakeless</v>
      </c>
      <c r="E18" s="77" t="str">
        <f>IF('12'!$M$5="","",'12'!$M$5)</f>
        <v>S20734/05</v>
      </c>
      <c r="F18" s="76" t="str">
        <f>IF('12'!$M$6="","",'12'!$M$6)</f>
        <v>Malinois</v>
      </c>
      <c r="G18" s="76" t="str">
        <f>IF('12'!$C$6="","",'12'!$C$6)</f>
        <v>Norsk Belgisk Fårehundklubb</v>
      </c>
      <c r="H18" s="99">
        <f>IF('12'!$O$39=0,"",'12'!$O$39)</f>
        <v>225.25</v>
      </c>
      <c r="I18" s="99">
        <f>IF('12'!$O$40=0,"",'12'!$O$40)</f>
        <v>239.25</v>
      </c>
      <c r="J18" s="100">
        <f>IF(D18="","",IF($K18="X",('12'!$O$41),'12'!$O$41))</f>
        <v>464.5</v>
      </c>
      <c r="K18" s="6">
        <f t="shared" si="1"/>
      </c>
      <c r="L18" s="6" t="str">
        <f>IF(D18="","",'12'!$M$43)</f>
        <v>X</v>
      </c>
      <c r="M18" s="78"/>
      <c r="N18" s="79">
        <f t="shared" si="2"/>
      </c>
      <c r="O18" s="80">
        <f>IF('12'!$O$43="","",'12'!$O$43)</f>
      </c>
    </row>
    <row r="19" spans="1:15" ht="18" customHeight="1">
      <c r="A19" s="74">
        <f t="shared" si="0"/>
        <v>11</v>
      </c>
      <c r="B19" s="6">
        <f>IF(D19="","",9)</f>
        <v>9</v>
      </c>
      <c r="C19" s="75" t="str">
        <f>IF(9!$C$5:$J$5="","",9!$C$5:$J$5)</f>
        <v>Claus Stokland</v>
      </c>
      <c r="D19" s="76" t="str">
        <f>IF(9!$M$4="","",9!$M$4)</f>
        <v>Biko</v>
      </c>
      <c r="E19" s="77" t="str">
        <f>IF(9!$M$5="","",9!$M$5)</f>
        <v>19534/03</v>
      </c>
      <c r="F19" s="76" t="str">
        <f>IF(9!$M$6="","",9!$M$6)</f>
        <v>Border Collie</v>
      </c>
      <c r="G19" s="76" t="str">
        <f>IF(9!$C$6="","",9!$C$6)</f>
        <v>Nidaros BHK</v>
      </c>
      <c r="H19" s="99">
        <f>IF(9!$O$39=0,"",9!$O$39)</f>
        <v>199</v>
      </c>
      <c r="I19" s="99">
        <f>IF(9!$O$40=0,"",9!$O$40)</f>
        <v>225.75</v>
      </c>
      <c r="J19" s="100">
        <f>IF(D19="","",IF($K19="X",(9!$O$41),9!$O$41))</f>
        <v>424.75</v>
      </c>
      <c r="K19" s="6">
        <f t="shared" si="1"/>
      </c>
      <c r="L19" s="6" t="str">
        <f>IF(D19="","",9!$M$43)</f>
        <v>X</v>
      </c>
      <c r="M19" s="78"/>
      <c r="N19" s="79">
        <f t="shared" si="2"/>
      </c>
      <c r="O19" s="80">
        <f>IF(9!$O$43="","",9!$O$43)</f>
      </c>
    </row>
    <row r="20" spans="1:15" ht="18" customHeight="1">
      <c r="A20" s="74">
        <f t="shared" si="0"/>
        <v>12</v>
      </c>
      <c r="B20" s="6">
        <f>IF(D20="","",10)</f>
        <v>10</v>
      </c>
      <c r="C20" s="75" t="str">
        <f>IF('10'!$C$5:$J$5="","",'10'!$C$5:$J$5)</f>
        <v>Bjørn Olsen</v>
      </c>
      <c r="D20" s="76" t="str">
        <f>IF('10'!$M$4="","",'10'!$M$4)</f>
        <v>Åbogården's I-Chica</v>
      </c>
      <c r="E20" s="77" t="str">
        <f>IF('10'!$M$5="","",'10'!$M$5)</f>
        <v>00389/03</v>
      </c>
      <c r="F20" s="76" t="str">
        <f>IF('10'!$M$6="","",'10'!$M$6)</f>
        <v>Schæfer</v>
      </c>
      <c r="G20" s="76" t="str">
        <f>IF('10'!$C$6="","",'10'!$C$6)</f>
        <v>Fosen BHK</v>
      </c>
      <c r="H20" s="99">
        <f>IF('10'!$O$39=0,"",'10'!$O$39)</f>
        <v>149.5</v>
      </c>
      <c r="I20" s="99">
        <f>IF('10'!$O$40=0,"",'10'!$O$40)</f>
        <v>229</v>
      </c>
      <c r="J20" s="100">
        <f>IF(D20="","",IF($K20="X",('10'!$O$41),'10'!$O$41))</f>
        <v>378.5</v>
      </c>
      <c r="K20" s="6">
        <f t="shared" si="1"/>
      </c>
      <c r="L20" s="6" t="str">
        <f>IF(D20="","",'10'!$M$43)</f>
        <v>X</v>
      </c>
      <c r="M20" s="78"/>
      <c r="N20" s="79">
        <f t="shared" si="2"/>
      </c>
      <c r="O20" s="80">
        <f>IF('10'!$O$43="","",'10'!$O$43)</f>
      </c>
    </row>
    <row r="21" spans="1:15" ht="18" customHeight="1">
      <c r="A21" s="74">
        <f t="shared" si="0"/>
        <v>13</v>
      </c>
      <c r="B21" s="6">
        <f>IF(D21="","",13)</f>
        <v>13</v>
      </c>
      <c r="C21" s="75" t="str">
        <f>IF('13'!$C$5:$J$5="","",'13'!$C$5:$J$5)</f>
        <v>Håkon Groven</v>
      </c>
      <c r="D21" s="76" t="str">
        <f>IF('13'!$M$4="","",'13'!$M$4)</f>
        <v>Kronvallaren E-Tam</v>
      </c>
      <c r="E21" s="77" t="str">
        <f>IF('13'!$M$5="","",'13'!$M$5)</f>
        <v>REGV1098/2005</v>
      </c>
      <c r="F21" s="76" t="str">
        <f>IF('13'!$M$6="","",'13'!$M$6)</f>
        <v>Border Collie</v>
      </c>
      <c r="G21" s="76" t="str">
        <f>IF('13'!$C$6="","",'13'!$C$6)</f>
        <v>Nidaros BHK</v>
      </c>
      <c r="H21" s="99">
        <f>IF('13'!$O$39=0,"",'13'!$O$39)</f>
        <v>174.5</v>
      </c>
      <c r="I21" s="99">
        <f>IF('13'!$O$40=0,"",'13'!$O$40)</f>
        <v>188.5</v>
      </c>
      <c r="J21" s="100">
        <f>IF(D21="","",IF($K21="X",('13'!$O$41),'13'!$O$41))</f>
        <v>363</v>
      </c>
      <c r="K21" s="6">
        <f t="shared" si="1"/>
      </c>
      <c r="L21" s="6" t="str">
        <f>IF(D21="","",'13'!$M$43)</f>
        <v>X</v>
      </c>
      <c r="M21" s="78"/>
      <c r="N21" s="79">
        <f t="shared" si="2"/>
      </c>
      <c r="O21" s="80">
        <f>IF('13'!$O$43="","",'13'!$O$43)</f>
      </c>
    </row>
    <row r="22" spans="1:15" ht="18" customHeight="1" thickBot="1">
      <c r="A22" s="81">
        <f t="shared" si="0"/>
        <v>14</v>
      </c>
      <c r="B22" s="7">
        <f>IF(D22="","",11)</f>
        <v>11</v>
      </c>
      <c r="C22" s="82" t="str">
        <f>IF('11'!$C$5:$J$5="","",'11'!$C$5:$J$5)</f>
        <v>Ingar Oliversen</v>
      </c>
      <c r="D22" s="83" t="str">
        <f>IF('11'!$M$4="","",'11'!$M$4)</f>
        <v>Tunevannets Olli</v>
      </c>
      <c r="E22" s="84" t="str">
        <f>IF('11'!$M$5="","",'11'!$M$5)</f>
        <v>04747/05</v>
      </c>
      <c r="F22" s="83" t="str">
        <f>IF('11'!$M$6="","",'11'!$M$6)</f>
        <v>Border Collie</v>
      </c>
      <c r="G22" s="83" t="str">
        <f>IF('11'!$C$6="","",'11'!$C$6)</f>
        <v>Sarpsborg HK</v>
      </c>
      <c r="H22" s="101">
        <f>IF('11'!$O$39=0,"",'11'!$O$39)</f>
        <v>223.75</v>
      </c>
      <c r="I22" s="101">
        <f>IF('11'!$O$40=0,"",'11'!$O$40)</f>
        <v>40.5</v>
      </c>
      <c r="J22" s="102">
        <f>IF(D22="","",IF($K22="X",('11'!$O$41),'11'!$O$41))</f>
        <v>264.25</v>
      </c>
      <c r="K22" s="7" t="str">
        <f t="shared" si="1"/>
        <v>X</v>
      </c>
      <c r="L22" s="7">
        <f>IF(D22="","",'11'!$M$43)</f>
      </c>
      <c r="M22" s="85"/>
      <c r="N22" s="86">
        <f t="shared" si="2"/>
      </c>
      <c r="O22" s="87">
        <f>IF('11'!$O$43="","",'11'!$O$43)</f>
      </c>
    </row>
    <row r="23" spans="1:15" ht="12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134" t="s">
        <v>57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8.25" customHeight="1" thickBo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5" ht="12.75">
      <c r="A26" s="36" t="s">
        <v>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33" t="s">
        <v>77</v>
      </c>
      <c r="N26" s="133"/>
      <c r="O26" s="133"/>
    </row>
  </sheetData>
  <sheetProtection/>
  <mergeCells count="23">
    <mergeCell ref="A1:O1"/>
    <mergeCell ref="I4:K4"/>
    <mergeCell ref="N4:O4"/>
    <mergeCell ref="L4:M4"/>
    <mergeCell ref="A2:B2"/>
    <mergeCell ref="A3:B3"/>
    <mergeCell ref="A4:B4"/>
    <mergeCell ref="A25:O25"/>
    <mergeCell ref="M26:O26"/>
    <mergeCell ref="A24:O24"/>
    <mergeCell ref="I2:K3"/>
    <mergeCell ref="M2:O3"/>
    <mergeCell ref="N6:N7"/>
    <mergeCell ref="O6:O7"/>
    <mergeCell ref="A6:A7"/>
    <mergeCell ref="G6:G7"/>
    <mergeCell ref="E6:E7"/>
    <mergeCell ref="C6:C7"/>
    <mergeCell ref="C2:E2"/>
    <mergeCell ref="C3:G3"/>
    <mergeCell ref="C4:G4"/>
    <mergeCell ref="D6:D7"/>
    <mergeCell ref="F6:F7"/>
  </mergeCells>
  <printOptions/>
  <pageMargins left="0.5118110236220472" right="0.5118110236220472" top="0.5118110236220472" bottom="0.5118110236220472" header="0.5118110236220472" footer="0.5118110236220472"/>
  <pageSetup fitToHeight="1" fitToWidth="1" horizontalDpi="1200" verticalDpi="1200" orientation="landscape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22">
      <selection activeCell="I29" sqref="I2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">
        <v>75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Resultatskj!K2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Resultatskj!G4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Resultatskj!B8</f>
        <v>1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Resultatskj!A2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Resultatskj!C6</f>
        <v>Hundens navn:</v>
      </c>
      <c r="L4" s="225"/>
      <c r="M4" s="232" t="s">
        <v>83</v>
      </c>
      <c r="N4" s="232"/>
      <c r="O4" s="232"/>
      <c r="P4" s="233"/>
    </row>
    <row r="5" spans="1:16" ht="15.75">
      <c r="A5" s="180" t="s">
        <v>1</v>
      </c>
      <c r="B5" s="181"/>
      <c r="C5" s="230" t="s">
        <v>84</v>
      </c>
      <c r="D5" s="230"/>
      <c r="E5" s="230"/>
      <c r="F5" s="230"/>
      <c r="G5" s="230"/>
      <c r="H5" s="230"/>
      <c r="I5" s="230"/>
      <c r="J5" s="107"/>
      <c r="K5" s="226" t="str">
        <f>Resultatskj!D6</f>
        <v>Reg.nr.:</v>
      </c>
      <c r="L5" s="181"/>
      <c r="M5" s="230" t="s">
        <v>115</v>
      </c>
      <c r="N5" s="230"/>
      <c r="O5" s="230"/>
      <c r="P5" s="234"/>
    </row>
    <row r="6" spans="1:16" ht="16.5" thickBot="1">
      <c r="A6" s="182" t="str">
        <f>Resultatskj!F6</f>
        <v>Klubb:</v>
      </c>
      <c r="B6" s="176"/>
      <c r="C6" s="209" t="s">
        <v>86</v>
      </c>
      <c r="D6" s="209"/>
      <c r="E6" s="209"/>
      <c r="F6" s="209"/>
      <c r="G6" s="209"/>
      <c r="H6" s="209"/>
      <c r="I6" s="209"/>
      <c r="J6" s="231"/>
      <c r="K6" s="175" t="str">
        <f>Resultatskj!E6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">
        <v>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">
        <v>3</v>
      </c>
      <c r="B8" s="229"/>
      <c r="C8" s="229"/>
      <c r="D8" s="229"/>
      <c r="E8" s="229"/>
      <c r="F8" s="39" t="s">
        <v>16</v>
      </c>
      <c r="G8" s="39" t="s">
        <v>17</v>
      </c>
      <c r="H8" s="39" t="s">
        <v>17</v>
      </c>
      <c r="I8" s="39" t="s">
        <v>79</v>
      </c>
      <c r="J8" s="39" t="s">
        <v>18</v>
      </c>
      <c r="K8" s="211"/>
      <c r="L8" s="212"/>
      <c r="M8" s="212"/>
      <c r="N8" s="212"/>
      <c r="O8" s="212"/>
      <c r="P8" s="213"/>
    </row>
    <row r="9" spans="1:16" ht="14.25">
      <c r="A9" s="5">
        <v>1</v>
      </c>
      <c r="B9" s="171" t="s">
        <v>9</v>
      </c>
      <c r="C9" s="171"/>
      <c r="D9" s="171"/>
      <c r="E9" s="171"/>
      <c r="F9" s="6">
        <v>4</v>
      </c>
      <c r="G9" s="88">
        <v>8.5</v>
      </c>
      <c r="H9" s="88">
        <v>9</v>
      </c>
      <c r="I9" s="93">
        <f>IF(G9="","",IF(H9="","",(G9+H9)/2))</f>
        <v>8.75</v>
      </c>
      <c r="J9" s="95">
        <f>IF(I9="","",I9*F9)</f>
        <v>35</v>
      </c>
      <c r="K9" s="172"/>
      <c r="L9" s="173"/>
      <c r="M9" s="173"/>
      <c r="N9" s="173"/>
      <c r="O9" s="173"/>
      <c r="P9" s="174"/>
    </row>
    <row r="10" spans="1:16" ht="14.25">
      <c r="A10" s="5">
        <v>2</v>
      </c>
      <c r="B10" s="171" t="s">
        <v>62</v>
      </c>
      <c r="C10" s="171"/>
      <c r="D10" s="171"/>
      <c r="E10" s="171"/>
      <c r="F10" s="6">
        <v>4</v>
      </c>
      <c r="G10" s="88">
        <v>8</v>
      </c>
      <c r="H10" s="88">
        <v>6</v>
      </c>
      <c r="I10" s="93">
        <f aca="true" t="shared" si="0" ref="I10:I17">IF(G10="","",IF(H10="","",(G10+H10)/2))</f>
        <v>7</v>
      </c>
      <c r="J10" s="95">
        <f aca="true" t="shared" si="1" ref="J10:J18">IF(I10="","",I10*F10)</f>
        <v>28</v>
      </c>
      <c r="K10" s="172"/>
      <c r="L10" s="173"/>
      <c r="M10" s="173"/>
      <c r="N10" s="173"/>
      <c r="O10" s="173"/>
      <c r="P10" s="174"/>
    </row>
    <row r="11" spans="1:16" ht="14.25">
      <c r="A11" s="5">
        <v>3</v>
      </c>
      <c r="B11" s="171" t="s">
        <v>63</v>
      </c>
      <c r="C11" s="171"/>
      <c r="D11" s="171"/>
      <c r="E11" s="171"/>
      <c r="F11" s="6">
        <v>4</v>
      </c>
      <c r="G11" s="88">
        <v>7.5</v>
      </c>
      <c r="H11" s="88">
        <v>5</v>
      </c>
      <c r="I11" s="93">
        <f t="shared" si="0"/>
        <v>6.25</v>
      </c>
      <c r="J11" s="95">
        <f t="shared" si="1"/>
        <v>25</v>
      </c>
      <c r="K11" s="172"/>
      <c r="L11" s="173"/>
      <c r="M11" s="173"/>
      <c r="N11" s="173"/>
      <c r="O11" s="173"/>
      <c r="P11" s="174"/>
    </row>
    <row r="12" spans="1:16" ht="14.25">
      <c r="A12" s="5">
        <v>4</v>
      </c>
      <c r="B12" s="171" t="s">
        <v>64</v>
      </c>
      <c r="C12" s="171"/>
      <c r="D12" s="171"/>
      <c r="E12" s="171"/>
      <c r="F12" s="6">
        <v>4</v>
      </c>
      <c r="G12" s="88">
        <v>8</v>
      </c>
      <c r="H12" s="88">
        <v>8.5</v>
      </c>
      <c r="I12" s="93">
        <f t="shared" si="0"/>
        <v>8.25</v>
      </c>
      <c r="J12" s="95">
        <f t="shared" si="1"/>
        <v>33</v>
      </c>
      <c r="K12" s="172"/>
      <c r="L12" s="173"/>
      <c r="M12" s="173"/>
      <c r="N12" s="173"/>
      <c r="O12" s="173"/>
      <c r="P12" s="174"/>
    </row>
    <row r="13" spans="1:16" ht="14.25">
      <c r="A13" s="5">
        <v>5</v>
      </c>
      <c r="B13" s="171" t="s">
        <v>65</v>
      </c>
      <c r="C13" s="171"/>
      <c r="D13" s="171"/>
      <c r="E13" s="171"/>
      <c r="F13" s="6">
        <v>2</v>
      </c>
      <c r="G13" s="88">
        <v>9.5</v>
      </c>
      <c r="H13" s="88">
        <v>8.5</v>
      </c>
      <c r="I13" s="93">
        <f t="shared" si="0"/>
        <v>9</v>
      </c>
      <c r="J13" s="95">
        <f t="shared" si="1"/>
        <v>18</v>
      </c>
      <c r="K13" s="172"/>
      <c r="L13" s="173"/>
      <c r="M13" s="173"/>
      <c r="N13" s="173"/>
      <c r="O13" s="173"/>
      <c r="P13" s="174"/>
    </row>
    <row r="14" spans="1:16" ht="14.25">
      <c r="A14" s="5">
        <v>6</v>
      </c>
      <c r="B14" s="171" t="s">
        <v>66</v>
      </c>
      <c r="C14" s="171"/>
      <c r="D14" s="171"/>
      <c r="E14" s="171"/>
      <c r="F14" s="6">
        <v>2</v>
      </c>
      <c r="G14" s="88">
        <v>9.5</v>
      </c>
      <c r="H14" s="88">
        <v>9.5</v>
      </c>
      <c r="I14" s="93">
        <f t="shared" si="0"/>
        <v>9.5</v>
      </c>
      <c r="J14" s="95">
        <f t="shared" si="1"/>
        <v>19</v>
      </c>
      <c r="K14" s="172"/>
      <c r="L14" s="173"/>
      <c r="M14" s="173"/>
      <c r="N14" s="173"/>
      <c r="O14" s="173"/>
      <c r="P14" s="174"/>
    </row>
    <row r="15" spans="1:16" ht="14.25">
      <c r="A15" s="5">
        <v>7</v>
      </c>
      <c r="B15" s="171" t="s">
        <v>67</v>
      </c>
      <c r="C15" s="171"/>
      <c r="D15" s="171"/>
      <c r="E15" s="171"/>
      <c r="F15" s="6">
        <v>2</v>
      </c>
      <c r="G15" s="88">
        <v>10</v>
      </c>
      <c r="H15" s="88">
        <v>10</v>
      </c>
      <c r="I15" s="93">
        <f t="shared" si="0"/>
        <v>10</v>
      </c>
      <c r="J15" s="95">
        <f t="shared" si="1"/>
        <v>20</v>
      </c>
      <c r="K15" s="172"/>
      <c r="L15" s="173"/>
      <c r="M15" s="173"/>
      <c r="N15" s="173"/>
      <c r="O15" s="173"/>
      <c r="P15" s="174"/>
    </row>
    <row r="16" spans="1:16" ht="14.25">
      <c r="A16" s="5">
        <v>8</v>
      </c>
      <c r="B16" s="171" t="s">
        <v>68</v>
      </c>
      <c r="C16" s="171"/>
      <c r="D16" s="171"/>
      <c r="E16" s="171"/>
      <c r="F16" s="6">
        <v>3</v>
      </c>
      <c r="G16" s="88">
        <v>9</v>
      </c>
      <c r="H16" s="88">
        <v>9</v>
      </c>
      <c r="I16" s="93">
        <f t="shared" si="0"/>
        <v>9</v>
      </c>
      <c r="J16" s="95">
        <f t="shared" si="1"/>
        <v>27</v>
      </c>
      <c r="K16" s="172"/>
      <c r="L16" s="173"/>
      <c r="M16" s="173"/>
      <c r="N16" s="173"/>
      <c r="O16" s="173"/>
      <c r="P16" s="174"/>
    </row>
    <row r="17" spans="1:16" ht="14.25">
      <c r="A17" s="5">
        <v>9</v>
      </c>
      <c r="B17" s="171" t="s">
        <v>69</v>
      </c>
      <c r="C17" s="171"/>
      <c r="D17" s="171"/>
      <c r="E17" s="171"/>
      <c r="F17" s="6">
        <v>2</v>
      </c>
      <c r="G17" s="88">
        <v>9</v>
      </c>
      <c r="H17" s="88">
        <v>9</v>
      </c>
      <c r="I17" s="93">
        <f t="shared" si="0"/>
        <v>9</v>
      </c>
      <c r="J17" s="95">
        <f t="shared" si="1"/>
        <v>18</v>
      </c>
      <c r="K17" s="172"/>
      <c r="L17" s="173"/>
      <c r="M17" s="173"/>
      <c r="N17" s="173"/>
      <c r="O17" s="173"/>
      <c r="P17" s="174"/>
    </row>
    <row r="18" spans="1:16" ht="14.25">
      <c r="A18" s="5">
        <v>10</v>
      </c>
      <c r="B18" s="171" t="s">
        <v>60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">
        <v>4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253</v>
      </c>
      <c r="K19" s="191"/>
      <c r="L19" s="185"/>
      <c r="M19" s="185"/>
      <c r="N19" s="185"/>
      <c r="O19" s="185"/>
      <c r="P19" s="192"/>
    </row>
    <row r="20" spans="1:16" ht="18.75" thickBot="1">
      <c r="A20" s="189" t="s">
        <v>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">
        <v>3</v>
      </c>
      <c r="B21" s="229"/>
      <c r="C21" s="229"/>
      <c r="D21" s="229"/>
      <c r="E21" s="229"/>
      <c r="F21" s="39" t="s">
        <v>16</v>
      </c>
      <c r="G21" s="39" t="s">
        <v>17</v>
      </c>
      <c r="H21" s="39" t="s">
        <v>17</v>
      </c>
      <c r="I21" s="39" t="s">
        <v>79</v>
      </c>
      <c r="J21" s="39" t="s">
        <v>18</v>
      </c>
      <c r="K21" s="197"/>
      <c r="L21" s="198"/>
      <c r="M21" s="198"/>
      <c r="N21" s="198"/>
      <c r="O21" s="198"/>
      <c r="P21" s="199"/>
    </row>
    <row r="22" spans="1:16" ht="14.25">
      <c r="A22" s="5">
        <v>11</v>
      </c>
      <c r="B22" s="171" t="s">
        <v>70</v>
      </c>
      <c r="C22" s="171"/>
      <c r="D22" s="171"/>
      <c r="E22" s="171"/>
      <c r="F22" s="6"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v>12</v>
      </c>
      <c r="B23" s="126" t="s">
        <v>71</v>
      </c>
      <c r="C23" s="179"/>
      <c r="D23" s="179"/>
      <c r="E23" s="251"/>
      <c r="F23" s="6"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v>13</v>
      </c>
      <c r="B24" s="126" t="s">
        <v>19</v>
      </c>
      <c r="C24" s="179"/>
      <c r="D24" s="179"/>
      <c r="E24" s="251"/>
      <c r="F24" s="6"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">
        <v>7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">
        <v>15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44" t="str">
        <f>$A$8</f>
        <v>Øvelser:</v>
      </c>
      <c r="B27" s="229"/>
      <c r="C27" s="229"/>
      <c r="D27" s="229"/>
      <c r="E27" s="229"/>
      <c r="F27" s="39" t="str">
        <f>$F$8</f>
        <v>Koeff.</v>
      </c>
      <c r="G27" s="39" t="str">
        <f>$G$8</f>
        <v>Karakter</v>
      </c>
      <c r="H27" s="39" t="s">
        <v>17</v>
      </c>
      <c r="I27" s="39" t="s">
        <v>79</v>
      </c>
      <c r="J27" s="39" t="str">
        <f>$J$8</f>
        <v>Poeng</v>
      </c>
      <c r="K27" s="197"/>
      <c r="L27" s="198"/>
      <c r="M27" s="198"/>
      <c r="N27" s="198"/>
      <c r="O27" s="198"/>
      <c r="P27" s="199"/>
    </row>
    <row r="28" spans="1:16" ht="14.25">
      <c r="A28" s="5">
        <v>11</v>
      </c>
      <c r="B28" s="171" t="s">
        <v>70</v>
      </c>
      <c r="C28" s="171"/>
      <c r="D28" s="171"/>
      <c r="E28" s="171"/>
      <c r="F28" s="6">
        <v>6</v>
      </c>
      <c r="G28" s="88">
        <v>5</v>
      </c>
      <c r="H28" s="88">
        <v>5</v>
      </c>
      <c r="I28" s="93">
        <f>IF(G28="","",IF(H28="","",(G28+H28)/2))</f>
        <v>5</v>
      </c>
      <c r="J28" s="95">
        <f>IF(I28="","",I28*F28)</f>
        <v>30</v>
      </c>
      <c r="K28" s="172"/>
      <c r="L28" s="173"/>
      <c r="M28" s="173"/>
      <c r="N28" s="173"/>
      <c r="O28" s="173"/>
      <c r="P28" s="174"/>
    </row>
    <row r="29" spans="1:16" ht="14.25">
      <c r="A29" s="5">
        <v>12</v>
      </c>
      <c r="B29" s="171" t="s">
        <v>20</v>
      </c>
      <c r="C29" s="171"/>
      <c r="D29" s="171"/>
      <c r="E29" s="171"/>
      <c r="F29" s="6">
        <v>29</v>
      </c>
      <c r="G29" s="88">
        <v>10</v>
      </c>
      <c r="H29" s="88">
        <v>10</v>
      </c>
      <c r="I29" s="93">
        <f>IF(G29="","",IF(H29="","",(G29+H29)/2))</f>
        <v>10</v>
      </c>
      <c r="J29" s="95">
        <f>IF(I29="","",I29*F29)</f>
        <v>290</v>
      </c>
      <c r="K29" s="172"/>
      <c r="L29" s="173"/>
      <c r="M29" s="173"/>
      <c r="N29" s="173"/>
      <c r="O29" s="173"/>
      <c r="P29" s="174"/>
    </row>
    <row r="30" spans="1:16" ht="16.5" thickBot="1">
      <c r="A30" s="183" t="s">
        <v>7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320</v>
      </c>
      <c r="K30" s="191"/>
      <c r="L30" s="185"/>
      <c r="M30" s="185"/>
      <c r="N30" s="185"/>
      <c r="O30" s="185"/>
      <c r="P30" s="192"/>
    </row>
    <row r="31" spans="1:16" ht="18.75" customHeight="1" thickBot="1">
      <c r="A31" s="189" t="s">
        <v>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 t="s">
        <v>22</v>
      </c>
      <c r="M31" s="190"/>
      <c r="N31" s="190"/>
      <c r="O31" s="190">
        <v>300</v>
      </c>
      <c r="P31" s="190" t="s">
        <v>24</v>
      </c>
    </row>
    <row r="32" spans="1:16" ht="12.75">
      <c r="A32" s="177" t="s">
        <v>13</v>
      </c>
      <c r="B32" s="178"/>
      <c r="C32" s="124" t="s">
        <v>12</v>
      </c>
      <c r="D32" s="178"/>
      <c r="E32" s="248" t="s">
        <v>14</v>
      </c>
      <c r="F32" s="249"/>
      <c r="G32" s="249"/>
      <c r="H32" s="249"/>
      <c r="I32" s="249"/>
      <c r="J32" s="250"/>
      <c r="K32" s="9"/>
      <c r="L32" s="228" t="s">
        <v>22</v>
      </c>
      <c r="M32" s="212"/>
      <c r="N32" s="212"/>
      <c r="O32" s="10">
        <v>325</v>
      </c>
      <c r="P32" s="11" t="s">
        <v>24</v>
      </c>
    </row>
    <row r="33" spans="1:16" ht="12.75">
      <c r="A33" s="42" t="s">
        <v>10</v>
      </c>
      <c r="B33" s="89">
        <v>0</v>
      </c>
      <c r="C33" s="12" t="s">
        <v>11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242" t="s">
        <v>23</v>
      </c>
      <c r="M33" s="181"/>
      <c r="N33" s="243"/>
      <c r="O33" s="13">
        <v>175</v>
      </c>
      <c r="P33" s="14" t="s">
        <v>24</v>
      </c>
    </row>
    <row r="34" spans="1:16" ht="12.75">
      <c r="A34" s="42" t="s">
        <v>11</v>
      </c>
      <c r="B34" s="89">
        <v>0</v>
      </c>
      <c r="C34" s="12" t="s">
        <v>10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5" t="s">
        <v>73</v>
      </c>
      <c r="M34" s="181"/>
      <c r="N34" s="243"/>
      <c r="O34" s="13">
        <v>520</v>
      </c>
      <c r="P34" s="14" t="s">
        <v>24</v>
      </c>
    </row>
    <row r="35" spans="1:16" ht="12.75">
      <c r="A35" s="43" t="s">
        <v>72</v>
      </c>
      <c r="B35" s="90">
        <v>0</v>
      </c>
      <c r="C35" s="44" t="s">
        <v>11</v>
      </c>
      <c r="D35" s="90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242" t="s">
        <v>23</v>
      </c>
      <c r="M35" s="181"/>
      <c r="N35" s="243"/>
      <c r="O35" s="13">
        <v>232</v>
      </c>
      <c r="P35" s="14" t="s">
        <v>24</v>
      </c>
    </row>
    <row r="36" spans="1:16" ht="13.5" thickBot="1">
      <c r="A36" s="43" t="s">
        <v>11</v>
      </c>
      <c r="B36" s="90">
        <v>0</v>
      </c>
      <c r="C36" s="44" t="s">
        <v>59</v>
      </c>
      <c r="D36" s="90">
        <v>0</v>
      </c>
      <c r="E36" s="214">
        <f>SUM(B36,D36)</f>
        <v>0</v>
      </c>
      <c r="F36" s="181"/>
      <c r="G36" s="181"/>
      <c r="H36" s="181"/>
      <c r="I36" s="181"/>
      <c r="J36" s="215"/>
      <c r="K36" s="9"/>
      <c r="L36" s="216" t="s">
        <v>74</v>
      </c>
      <c r="M36" s="176"/>
      <c r="N36" s="217"/>
      <c r="O36" s="15">
        <v>210</v>
      </c>
      <c r="P36" s="16" t="s">
        <v>24</v>
      </c>
    </row>
    <row r="37" spans="1:16" ht="13.5" thickBot="1">
      <c r="A37" s="219" t="s">
        <v>36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">
        <v>3</v>
      </c>
      <c r="B38" s="229"/>
      <c r="C38" s="229"/>
      <c r="D38" s="229"/>
      <c r="E38" s="229"/>
      <c r="F38" s="39" t="s">
        <v>16</v>
      </c>
      <c r="G38" s="39" t="s">
        <v>17</v>
      </c>
      <c r="H38" s="58" t="s">
        <v>17</v>
      </c>
      <c r="I38" s="58" t="s">
        <v>78</v>
      </c>
      <c r="J38" s="41" t="s">
        <v>18</v>
      </c>
      <c r="K38" s="9"/>
      <c r="L38" s="123"/>
      <c r="M38" s="198"/>
      <c r="N38" s="198"/>
      <c r="O38" s="197" t="s">
        <v>18</v>
      </c>
      <c r="P38" s="218"/>
    </row>
    <row r="39" spans="1:16" ht="14.25">
      <c r="A39" s="5">
        <v>11</v>
      </c>
      <c r="B39" s="171" t="s">
        <v>70</v>
      </c>
      <c r="C39" s="171"/>
      <c r="D39" s="171"/>
      <c r="E39" s="171"/>
      <c r="F39" s="6"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">
        <v>26</v>
      </c>
      <c r="M39" s="193"/>
      <c r="N39" s="193"/>
      <c r="O39" s="235">
        <f>J19</f>
        <v>253</v>
      </c>
      <c r="P39" s="236"/>
    </row>
    <row r="40" spans="1:16" ht="15" thickBot="1">
      <c r="A40" s="5">
        <v>12</v>
      </c>
      <c r="B40" s="171" t="s">
        <v>21</v>
      </c>
      <c r="C40" s="171"/>
      <c r="D40" s="171"/>
      <c r="E40" s="171"/>
      <c r="F40" s="6"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">
        <v>27</v>
      </c>
      <c r="M40" s="193"/>
      <c r="N40" s="193"/>
      <c r="O40" s="237">
        <f>IF(Resultatskj!H4="Rundering",J30,IF(Resultatskj!H4="Spor",J25,IF(Resultatskj!H4="Rapport",J41,"")))</f>
        <v>320</v>
      </c>
      <c r="P40" s="238"/>
    </row>
    <row r="41" spans="1:16" ht="16.5" thickBot="1">
      <c r="A41" s="183" t="s">
        <v>7</v>
      </c>
      <c r="B41" s="184"/>
      <c r="C41" s="184"/>
      <c r="D41" s="184"/>
      <c r="E41" s="184"/>
      <c r="F41" s="7">
        <f>SUM(F39:F40)</f>
        <v>35</v>
      </c>
      <c r="G41" s="8"/>
      <c r="H41" s="59"/>
      <c r="I41" s="59"/>
      <c r="J41" s="98">
        <f>SUM(J39:J40)</f>
        <v>0</v>
      </c>
      <c r="K41" s="9"/>
      <c r="L41" s="127" t="s">
        <v>25</v>
      </c>
      <c r="M41" s="185"/>
      <c r="N41" s="186"/>
      <c r="O41" s="240">
        <f>SUM(O39:P40)</f>
        <v>573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17" t="s">
        <v>28</v>
      </c>
      <c r="M42" s="18" t="s">
        <v>30</v>
      </c>
      <c r="N42" s="18" t="s">
        <v>49</v>
      </c>
      <c r="O42" s="18" t="s">
        <v>50</v>
      </c>
      <c r="P42" s="19" t="s">
        <v>29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 t="str">
        <f>Resultatskj!M8</f>
        <v>X</v>
      </c>
      <c r="O43" s="45"/>
      <c r="P43" s="38">
        <f>Resultatskj!A8</f>
        <v>1</v>
      </c>
    </row>
    <row r="44" spans="1:16" ht="12.75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9"/>
      <c r="L44" s="239" t="s">
        <v>58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 t="str">
        <f>Resultatskj!L26</f>
        <v>B.Strand, august 2007</v>
      </c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O46:P46"/>
    <mergeCell ref="L45:P45"/>
    <mergeCell ref="A45:E45"/>
    <mergeCell ref="F45:J45"/>
    <mergeCell ref="K23:P23"/>
    <mergeCell ref="E36:J36"/>
    <mergeCell ref="L32:N32"/>
    <mergeCell ref="A31:P31"/>
    <mergeCell ref="L33:N33"/>
    <mergeCell ref="L34:N34"/>
    <mergeCell ref="L35:N35"/>
    <mergeCell ref="A27:E27"/>
    <mergeCell ref="K19:P19"/>
    <mergeCell ref="A21:E21"/>
    <mergeCell ref="A42:J44"/>
    <mergeCell ref="A38:E38"/>
    <mergeCell ref="E32:J32"/>
    <mergeCell ref="E33:J33"/>
    <mergeCell ref="B23:E23"/>
    <mergeCell ref="B24:E24"/>
    <mergeCell ref="L44:P44"/>
    <mergeCell ref="K22:P22"/>
    <mergeCell ref="B10:E10"/>
    <mergeCell ref="K13:P13"/>
    <mergeCell ref="B13:E13"/>
    <mergeCell ref="K10:P10"/>
    <mergeCell ref="O41:P41"/>
    <mergeCell ref="B11:E11"/>
    <mergeCell ref="B12:E12"/>
    <mergeCell ref="B22:E22"/>
    <mergeCell ref="A19:E19"/>
    <mergeCell ref="B40:E40"/>
    <mergeCell ref="K11:P11"/>
    <mergeCell ref="K12:P12"/>
    <mergeCell ref="O39:P39"/>
    <mergeCell ref="O40:P40"/>
    <mergeCell ref="B14:E14"/>
    <mergeCell ref="K14:P14"/>
    <mergeCell ref="B15:E15"/>
    <mergeCell ref="K15:P15"/>
    <mergeCell ref="K9:P9"/>
    <mergeCell ref="K4:L4"/>
    <mergeCell ref="K5:L5"/>
    <mergeCell ref="A4:B4"/>
    <mergeCell ref="B9:E9"/>
    <mergeCell ref="A8:E8"/>
    <mergeCell ref="C5:J5"/>
    <mergeCell ref="C6:J6"/>
    <mergeCell ref="M4:P4"/>
    <mergeCell ref="M5:P5"/>
    <mergeCell ref="M6:P6"/>
    <mergeCell ref="K8:P8"/>
    <mergeCell ref="B39:E39"/>
    <mergeCell ref="E34:J34"/>
    <mergeCell ref="E35:J35"/>
    <mergeCell ref="L36:N36"/>
    <mergeCell ref="O38:P38"/>
    <mergeCell ref="L38:N38"/>
    <mergeCell ref="A37:D37"/>
    <mergeCell ref="E37:J37"/>
    <mergeCell ref="A41:E41"/>
    <mergeCell ref="A3:P3"/>
    <mergeCell ref="F1:P1"/>
    <mergeCell ref="A1:E1"/>
    <mergeCell ref="K2:M2"/>
    <mergeCell ref="C2:F2"/>
    <mergeCell ref="K27:P27"/>
    <mergeCell ref="K28:P28"/>
    <mergeCell ref="A26:P26"/>
    <mergeCell ref="K25:P25"/>
    <mergeCell ref="L41:N41"/>
    <mergeCell ref="C4:J4"/>
    <mergeCell ref="A20:P20"/>
    <mergeCell ref="A7:P7"/>
    <mergeCell ref="K30:P30"/>
    <mergeCell ref="K29:P29"/>
    <mergeCell ref="L39:N39"/>
    <mergeCell ref="L40:N40"/>
    <mergeCell ref="K24:P24"/>
    <mergeCell ref="K21:P21"/>
    <mergeCell ref="K6:L6"/>
    <mergeCell ref="A32:B32"/>
    <mergeCell ref="C32:D32"/>
    <mergeCell ref="A2:B2"/>
    <mergeCell ref="A5:B5"/>
    <mergeCell ref="A6:B6"/>
    <mergeCell ref="A25:E25"/>
    <mergeCell ref="A30:E30"/>
    <mergeCell ref="B28:E28"/>
    <mergeCell ref="B29:E29"/>
    <mergeCell ref="B18:E18"/>
    <mergeCell ref="K18:P18"/>
    <mergeCell ref="B16:E16"/>
    <mergeCell ref="K16:P16"/>
    <mergeCell ref="B17:E17"/>
    <mergeCell ref="K17:P17"/>
  </mergeCells>
  <printOptions/>
  <pageMargins left="0.5118110236220472" right="0.5118110236220472" top="0.3937007874015748" bottom="0.5118110236220472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3">
      <selection activeCell="C6" sqref="C6:J6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Resultatskj!B9</f>
        <v>2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87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88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116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89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9.5</v>
      </c>
      <c r="H9" s="88">
        <v>8.5</v>
      </c>
      <c r="I9" s="93">
        <f>IF(G9="","",IF(H9="","",(G9+H9)/2))</f>
        <v>9</v>
      </c>
      <c r="J9" s="95">
        <f>IF(I9="","",I9*F9)</f>
        <v>36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9</v>
      </c>
      <c r="H10" s="88">
        <v>8</v>
      </c>
      <c r="I10" s="93">
        <f aca="true" t="shared" si="0" ref="I10:I17">IF(G10="","",IF(H10="","",(G10+H10)/2))</f>
        <v>8.5</v>
      </c>
      <c r="J10" s="95">
        <f aca="true" t="shared" si="1" ref="J10:J18">IF(I10="","",I10*F10)</f>
        <v>34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9</v>
      </c>
      <c r="I12" s="93">
        <f t="shared" si="0"/>
        <v>9</v>
      </c>
      <c r="J12" s="95">
        <f t="shared" si="1"/>
        <v>36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9</v>
      </c>
      <c r="H13" s="88">
        <v>8</v>
      </c>
      <c r="I13" s="93">
        <f t="shared" si="0"/>
        <v>8.5</v>
      </c>
      <c r="J13" s="95">
        <f t="shared" si="1"/>
        <v>17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8</v>
      </c>
      <c r="H14" s="88">
        <v>10</v>
      </c>
      <c r="I14" s="93">
        <f t="shared" si="0"/>
        <v>9</v>
      </c>
      <c r="J14" s="95">
        <f t="shared" si="1"/>
        <v>18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9.5</v>
      </c>
      <c r="H15" s="88">
        <v>9.5</v>
      </c>
      <c r="I15" s="93">
        <f t="shared" si="0"/>
        <v>9.5</v>
      </c>
      <c r="J15" s="95">
        <f t="shared" si="1"/>
        <v>19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10</v>
      </c>
      <c r="H16" s="88">
        <v>10</v>
      </c>
      <c r="I16" s="93">
        <f t="shared" si="0"/>
        <v>10</v>
      </c>
      <c r="J16" s="95">
        <f t="shared" si="1"/>
        <v>30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9</v>
      </c>
      <c r="I17" s="93">
        <f t="shared" si="0"/>
        <v>9.25</v>
      </c>
      <c r="J17" s="95">
        <f t="shared" si="1"/>
        <v>18.5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238.5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8.5</v>
      </c>
      <c r="H28" s="88">
        <v>9</v>
      </c>
      <c r="I28" s="93">
        <f>IF(G28="","",IF(H28="","",(G28+H28)/2))</f>
        <v>8.75</v>
      </c>
      <c r="J28" s="95">
        <f>IF(I28="","",I28*F28)</f>
        <v>52.5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8.5</v>
      </c>
      <c r="H29" s="88">
        <v>8.5</v>
      </c>
      <c r="I29" s="93">
        <f>IF(G29="","",IF(H29="","",(G29+H29)/2))</f>
        <v>8.5</v>
      </c>
      <c r="J29" s="95">
        <f>IF(I29="","",I29*F29)</f>
        <v>246.5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299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238.5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299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537.5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Resultatskj!M9</f>
      </c>
      <c r="O43" s="45"/>
      <c r="P43" s="38">
        <f>Resultatskj!A9</f>
        <v>2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8:E8"/>
    <mergeCell ref="M4:P4"/>
    <mergeCell ref="K12:P12"/>
    <mergeCell ref="K8:P8"/>
    <mergeCell ref="K9:P9"/>
    <mergeCell ref="K10:P10"/>
    <mergeCell ref="K11:P11"/>
    <mergeCell ref="A7:P7"/>
    <mergeCell ref="B12:E12"/>
    <mergeCell ref="K5:L5"/>
    <mergeCell ref="L38:N38"/>
    <mergeCell ref="O38:P38"/>
    <mergeCell ref="B13:E13"/>
    <mergeCell ref="B16:E16"/>
    <mergeCell ref="K13:P13"/>
    <mergeCell ref="B14:E14"/>
    <mergeCell ref="B15:E15"/>
    <mergeCell ref="K14:P14"/>
    <mergeCell ref="K17:P17"/>
    <mergeCell ref="B22:E22"/>
    <mergeCell ref="K23:P23"/>
    <mergeCell ref="K28:P28"/>
    <mergeCell ref="K27:P27"/>
    <mergeCell ref="K24:P24"/>
    <mergeCell ref="K15:P15"/>
    <mergeCell ref="B17:E17"/>
    <mergeCell ref="K16:P16"/>
    <mergeCell ref="O40:P40"/>
    <mergeCell ref="E33:J33"/>
    <mergeCell ref="E34:J34"/>
    <mergeCell ref="E36:J36"/>
    <mergeCell ref="E35:J35"/>
    <mergeCell ref="B39:E39"/>
    <mergeCell ref="E32:J32"/>
    <mergeCell ref="L40:N40"/>
    <mergeCell ref="K29:P29"/>
    <mergeCell ref="L39:N39"/>
    <mergeCell ref="L32:N32"/>
    <mergeCell ref="O39:P39"/>
    <mergeCell ref="A32:B32"/>
    <mergeCell ref="C32:D32"/>
    <mergeCell ref="A38:E38"/>
    <mergeCell ref="L36:N36"/>
    <mergeCell ref="L35:N35"/>
    <mergeCell ref="A27:E27"/>
    <mergeCell ref="B29:E29"/>
    <mergeCell ref="A30:E30"/>
    <mergeCell ref="K30:P30"/>
    <mergeCell ref="A31:P31"/>
    <mergeCell ref="B28:E28"/>
    <mergeCell ref="M6:P6"/>
    <mergeCell ref="A5:B5"/>
    <mergeCell ref="C5:J5"/>
    <mergeCell ref="B24:E24"/>
    <mergeCell ref="B23:E23"/>
    <mergeCell ref="A25:E25"/>
    <mergeCell ref="K25:P25"/>
    <mergeCell ref="B9:E9"/>
    <mergeCell ref="B10:E10"/>
    <mergeCell ref="B11:E11"/>
    <mergeCell ref="A1:E1"/>
    <mergeCell ref="F1:P1"/>
    <mergeCell ref="A2:B2"/>
    <mergeCell ref="C2:F2"/>
    <mergeCell ref="K2:M2"/>
    <mergeCell ref="A3:P3"/>
    <mergeCell ref="A4:B4"/>
    <mergeCell ref="C4:J4"/>
    <mergeCell ref="K4:L4"/>
    <mergeCell ref="B18:E18"/>
    <mergeCell ref="A19:E19"/>
    <mergeCell ref="K19:P19"/>
    <mergeCell ref="M5:P5"/>
    <mergeCell ref="A6:B6"/>
    <mergeCell ref="C6:J6"/>
    <mergeCell ref="K6:L6"/>
    <mergeCell ref="A20:P20"/>
    <mergeCell ref="K18:P18"/>
    <mergeCell ref="A37:D37"/>
    <mergeCell ref="E37:J37"/>
    <mergeCell ref="K21:P21"/>
    <mergeCell ref="K22:P22"/>
    <mergeCell ref="A21:E21"/>
    <mergeCell ref="L34:N34"/>
    <mergeCell ref="L33:N33"/>
    <mergeCell ref="A26:P26"/>
    <mergeCell ref="A45:E45"/>
    <mergeCell ref="F45:J45"/>
    <mergeCell ref="L45:P45"/>
    <mergeCell ref="O46:P46"/>
    <mergeCell ref="B40:E40"/>
    <mergeCell ref="A41:E41"/>
    <mergeCell ref="L41:N41"/>
    <mergeCell ref="O41:P41"/>
    <mergeCell ref="A42:J44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7">
      <selection activeCell="C6" sqref="C6:J6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Resultatskj!B10</f>
        <v>3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91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92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118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117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8</v>
      </c>
      <c r="H9" s="88">
        <v>8</v>
      </c>
      <c r="I9" s="93">
        <f>IF(G9="","",IF(H9="","",(G9+H9)/2))</f>
        <v>8</v>
      </c>
      <c r="J9" s="95">
        <f>IF(I9="","",I9*F9)</f>
        <v>32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9</v>
      </c>
      <c r="H10" s="88">
        <v>9</v>
      </c>
      <c r="I10" s="93">
        <f aca="true" t="shared" si="0" ref="I10:I17">IF(G10="","",IF(H10="","",(G10+H10)/2))</f>
        <v>9</v>
      </c>
      <c r="J10" s="95">
        <f aca="true" t="shared" si="1" ref="J10:J18">IF(I10="","",I10*F10)</f>
        <v>36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7</v>
      </c>
      <c r="H11" s="88">
        <v>7.5</v>
      </c>
      <c r="I11" s="93">
        <f t="shared" si="0"/>
        <v>7.25</v>
      </c>
      <c r="J11" s="95">
        <f t="shared" si="1"/>
        <v>29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9.5</v>
      </c>
      <c r="I12" s="93">
        <f t="shared" si="0"/>
        <v>9.25</v>
      </c>
      <c r="J12" s="95">
        <f t="shared" si="1"/>
        <v>37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8.5</v>
      </c>
      <c r="H13" s="88">
        <v>9</v>
      </c>
      <c r="I13" s="93">
        <f t="shared" si="0"/>
        <v>8.75</v>
      </c>
      <c r="J13" s="95">
        <f t="shared" si="1"/>
        <v>17.5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9.5</v>
      </c>
      <c r="H14" s="88">
        <v>8</v>
      </c>
      <c r="I14" s="93">
        <f t="shared" si="0"/>
        <v>8.75</v>
      </c>
      <c r="J14" s="95">
        <f t="shared" si="1"/>
        <v>17.5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</v>
      </c>
      <c r="H15" s="88">
        <v>8</v>
      </c>
      <c r="I15" s="93">
        <f t="shared" si="0"/>
        <v>8</v>
      </c>
      <c r="J15" s="95">
        <f t="shared" si="1"/>
        <v>16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8</v>
      </c>
      <c r="H16" s="88">
        <v>8</v>
      </c>
      <c r="I16" s="93">
        <f t="shared" si="0"/>
        <v>8</v>
      </c>
      <c r="J16" s="95">
        <f t="shared" si="1"/>
        <v>24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10</v>
      </c>
      <c r="H17" s="88">
        <v>10</v>
      </c>
      <c r="I17" s="93">
        <f t="shared" si="0"/>
        <v>10</v>
      </c>
      <c r="J17" s="95">
        <f t="shared" si="1"/>
        <v>20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259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9</v>
      </c>
      <c r="H28" s="88">
        <v>9</v>
      </c>
      <c r="I28" s="93">
        <f>IF(G28="","",IF(H28="","",(G28+H28)/2))</f>
        <v>9</v>
      </c>
      <c r="J28" s="95">
        <f>IF(I28="","",I28*F28)</f>
        <v>54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5.5</v>
      </c>
      <c r="H29" s="88">
        <v>5</v>
      </c>
      <c r="I29" s="93">
        <f>IF(G29="","",IF(H29="","",(G29+H29)/2))</f>
        <v>5.25</v>
      </c>
      <c r="J29" s="95">
        <f>IF(I29="","",I29*F29)</f>
        <v>152.25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/>
      <c r="G30" s="8"/>
      <c r="H30" s="57"/>
      <c r="I30" s="57"/>
      <c r="J30" s="96">
        <f>IF(AND(J28="",J29=""),"",SUM(J28:J29))</f>
        <v>206.25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259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206.25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465.25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Resultatskj!M10</f>
      </c>
      <c r="O43" s="45"/>
      <c r="P43" s="38">
        <f>Resultatskj!A10</f>
        <v>9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27:E27"/>
    <mergeCell ref="B29:E29"/>
    <mergeCell ref="K27:P27"/>
    <mergeCell ref="K28:P28"/>
    <mergeCell ref="B28:E28"/>
    <mergeCell ref="B24:E24"/>
    <mergeCell ref="A25:E25"/>
    <mergeCell ref="K25:P25"/>
    <mergeCell ref="A26:P26"/>
    <mergeCell ref="O39:P39"/>
    <mergeCell ref="L33:N33"/>
    <mergeCell ref="B39:E39"/>
    <mergeCell ref="B13:E13"/>
    <mergeCell ref="K14:P14"/>
    <mergeCell ref="B16:E16"/>
    <mergeCell ref="B17:E17"/>
    <mergeCell ref="K13:P13"/>
    <mergeCell ref="K15:P15"/>
    <mergeCell ref="B14:E14"/>
    <mergeCell ref="K23:P23"/>
    <mergeCell ref="K16:P16"/>
    <mergeCell ref="K17:P17"/>
    <mergeCell ref="K18:P18"/>
    <mergeCell ref="K21:P21"/>
    <mergeCell ref="K22:P22"/>
    <mergeCell ref="B15:E15"/>
    <mergeCell ref="A5:B5"/>
    <mergeCell ref="C5:J5"/>
    <mergeCell ref="A6:B6"/>
    <mergeCell ref="C6:J6"/>
    <mergeCell ref="B23:E23"/>
    <mergeCell ref="A21:E21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L38:N38"/>
    <mergeCell ref="L39:N39"/>
    <mergeCell ref="E32:J32"/>
    <mergeCell ref="L32:N32"/>
    <mergeCell ref="E33:J33"/>
    <mergeCell ref="L36:N36"/>
    <mergeCell ref="A38:E38"/>
    <mergeCell ref="E37:J37"/>
    <mergeCell ref="E36:J36"/>
    <mergeCell ref="O38:P38"/>
    <mergeCell ref="B10:E10"/>
    <mergeCell ref="K10:P10"/>
    <mergeCell ref="B11:E11"/>
    <mergeCell ref="K11:P11"/>
    <mergeCell ref="B18:E18"/>
    <mergeCell ref="A19:E19"/>
    <mergeCell ref="K19:P19"/>
    <mergeCell ref="A20:P20"/>
    <mergeCell ref="A30:E30"/>
    <mergeCell ref="A2:B2"/>
    <mergeCell ref="C2:F2"/>
    <mergeCell ref="K2:M2"/>
    <mergeCell ref="A3:P3"/>
    <mergeCell ref="K5:L5"/>
    <mergeCell ref="M5:P5"/>
    <mergeCell ref="M4:P4"/>
    <mergeCell ref="A4:B4"/>
    <mergeCell ref="K4:L4"/>
    <mergeCell ref="K6:L6"/>
    <mergeCell ref="M6:P6"/>
    <mergeCell ref="K12:P12"/>
    <mergeCell ref="A7:P7"/>
    <mergeCell ref="B12:E12"/>
    <mergeCell ref="B22:E22"/>
    <mergeCell ref="A8:E8"/>
    <mergeCell ref="K8:P8"/>
    <mergeCell ref="B9:E9"/>
    <mergeCell ref="K9:P9"/>
    <mergeCell ref="O46:P46"/>
    <mergeCell ref="A42:J44"/>
    <mergeCell ref="A45:E45"/>
    <mergeCell ref="F45:J45"/>
    <mergeCell ref="L45:P45"/>
    <mergeCell ref="K30:P30"/>
    <mergeCell ref="A31:P31"/>
    <mergeCell ref="A32:B32"/>
    <mergeCell ref="C32:D32"/>
    <mergeCell ref="A37:D37"/>
    <mergeCell ref="L44:P44"/>
    <mergeCell ref="B40:E40"/>
    <mergeCell ref="A41:E41"/>
    <mergeCell ref="L41:N41"/>
    <mergeCell ref="O41:P41"/>
    <mergeCell ref="O40:P40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0">
      <selection activeCell="H19" sqref="H1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Resultatskj!B11</f>
        <v>4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93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94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120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119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8</v>
      </c>
      <c r="H9" s="88">
        <v>8.5</v>
      </c>
      <c r="I9" s="93">
        <f>IF(G9="","",IF(H9="","",(G9+H9)/2))</f>
        <v>8.25</v>
      </c>
      <c r="J9" s="95">
        <f>IF(I9="","",I9*F9)</f>
        <v>33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9</v>
      </c>
      <c r="H10" s="88">
        <v>9</v>
      </c>
      <c r="I10" s="93">
        <f aca="true" t="shared" si="0" ref="I10:I17">IF(G10="","",IF(H10="","",(G10+H10)/2))</f>
        <v>9</v>
      </c>
      <c r="J10" s="95">
        <f aca="true" t="shared" si="1" ref="J10:J18">IF(I10="","",I10*F10)</f>
        <v>36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7.5</v>
      </c>
      <c r="H11" s="88">
        <v>8.5</v>
      </c>
      <c r="I11" s="93">
        <f t="shared" si="0"/>
        <v>8</v>
      </c>
      <c r="J11" s="95">
        <f t="shared" si="1"/>
        <v>32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9.5</v>
      </c>
      <c r="I12" s="93">
        <f t="shared" si="0"/>
        <v>9.25</v>
      </c>
      <c r="J12" s="95">
        <f t="shared" si="1"/>
        <v>37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7.5</v>
      </c>
      <c r="H13" s="88">
        <v>6</v>
      </c>
      <c r="I13" s="93">
        <f t="shared" si="0"/>
        <v>6.75</v>
      </c>
      <c r="J13" s="95">
        <f t="shared" si="1"/>
        <v>13.5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9.5</v>
      </c>
      <c r="H14" s="88">
        <v>10</v>
      </c>
      <c r="I14" s="93">
        <f t="shared" si="0"/>
        <v>9.75</v>
      </c>
      <c r="J14" s="95">
        <f t="shared" si="1"/>
        <v>19.5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9</v>
      </c>
      <c r="H15" s="88">
        <v>9</v>
      </c>
      <c r="I15" s="93">
        <f t="shared" si="0"/>
        <v>9</v>
      </c>
      <c r="J15" s="95">
        <f t="shared" si="1"/>
        <v>18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9.5</v>
      </c>
      <c r="H16" s="88">
        <v>9.5</v>
      </c>
      <c r="I16" s="93">
        <f t="shared" si="0"/>
        <v>9.5</v>
      </c>
      <c r="J16" s="95">
        <f t="shared" si="1"/>
        <v>28.5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10</v>
      </c>
      <c r="H17" s="88">
        <v>9.5</v>
      </c>
      <c r="I17" s="93">
        <f t="shared" si="0"/>
        <v>9.75</v>
      </c>
      <c r="J17" s="95">
        <f t="shared" si="1"/>
        <v>19.5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267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0</v>
      </c>
      <c r="H28" s="88">
        <v>0</v>
      </c>
      <c r="I28" s="93">
        <f>IF(G28="","",IF(H28="","",(G28+H28)/2))</f>
        <v>0</v>
      </c>
      <c r="J28" s="95">
        <f>IF(I28="","",I28*F28)</f>
        <v>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7</v>
      </c>
      <c r="H29" s="88">
        <v>7</v>
      </c>
      <c r="I29" s="93">
        <f>IF(G29="","",IF(H29="","",(G29+H29)/2))</f>
        <v>7</v>
      </c>
      <c r="J29" s="95">
        <f>IF(I29="","",I29*F29)</f>
        <v>203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203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267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203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470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Resultatskj!M11</f>
      </c>
      <c r="O43" s="45"/>
      <c r="P43" s="38">
        <f>Resultatskj!A11</f>
        <v>8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M4:P4"/>
    <mergeCell ref="A5:B5"/>
    <mergeCell ref="A38:E38"/>
    <mergeCell ref="L38:N38"/>
    <mergeCell ref="L32:N32"/>
    <mergeCell ref="L33:N33"/>
    <mergeCell ref="L34:N34"/>
    <mergeCell ref="L35:N35"/>
    <mergeCell ref="A37:D37"/>
    <mergeCell ref="E37:J37"/>
    <mergeCell ref="F1:P1"/>
    <mergeCell ref="A1:E1"/>
    <mergeCell ref="K2:M2"/>
    <mergeCell ref="C2:F2"/>
    <mergeCell ref="A2:B2"/>
    <mergeCell ref="A3:P3"/>
    <mergeCell ref="K24:P24"/>
    <mergeCell ref="A7:P7"/>
    <mergeCell ref="B12:E12"/>
    <mergeCell ref="B22:E22"/>
    <mergeCell ref="B23:E23"/>
    <mergeCell ref="K23:P23"/>
    <mergeCell ref="K12:P12"/>
    <mergeCell ref="K8:P8"/>
    <mergeCell ref="K9:P9"/>
    <mergeCell ref="K10:P10"/>
    <mergeCell ref="O38:P38"/>
    <mergeCell ref="B11:E11"/>
    <mergeCell ref="A19:E19"/>
    <mergeCell ref="A8:E8"/>
    <mergeCell ref="B14:E14"/>
    <mergeCell ref="B15:E15"/>
    <mergeCell ref="B13:E13"/>
    <mergeCell ref="B18:E18"/>
    <mergeCell ref="B17:E17"/>
    <mergeCell ref="K18:P18"/>
    <mergeCell ref="E36:J36"/>
    <mergeCell ref="B29:E29"/>
    <mergeCell ref="A30:E30"/>
    <mergeCell ref="A31:P31"/>
    <mergeCell ref="A32:B32"/>
    <mergeCell ref="C32:D32"/>
    <mergeCell ref="E33:J33"/>
    <mergeCell ref="E34:J34"/>
    <mergeCell ref="K22:P22"/>
    <mergeCell ref="K29:P29"/>
    <mergeCell ref="K28:P28"/>
    <mergeCell ref="K27:P27"/>
    <mergeCell ref="A27:E27"/>
    <mergeCell ref="B39:E39"/>
    <mergeCell ref="A25:E25"/>
    <mergeCell ref="K25:P25"/>
    <mergeCell ref="E32:J32"/>
    <mergeCell ref="B28:E28"/>
    <mergeCell ref="C5:J5"/>
    <mergeCell ref="K5:L5"/>
    <mergeCell ref="M5:P5"/>
    <mergeCell ref="A4:B4"/>
    <mergeCell ref="C4:J4"/>
    <mergeCell ref="A6:B6"/>
    <mergeCell ref="C6:J6"/>
    <mergeCell ref="K6:L6"/>
    <mergeCell ref="M6:P6"/>
    <mergeCell ref="K4:L4"/>
    <mergeCell ref="K16:P16"/>
    <mergeCell ref="B16:E16"/>
    <mergeCell ref="K13:P13"/>
    <mergeCell ref="K11:P11"/>
    <mergeCell ref="B9:E9"/>
    <mergeCell ref="B10:E10"/>
    <mergeCell ref="K17:P17"/>
    <mergeCell ref="K14:P14"/>
    <mergeCell ref="K15:P15"/>
    <mergeCell ref="K19:P19"/>
    <mergeCell ref="L36:N36"/>
    <mergeCell ref="K21:P21"/>
    <mergeCell ref="A20:P20"/>
    <mergeCell ref="A21:E21"/>
    <mergeCell ref="K30:P30"/>
    <mergeCell ref="B24:E24"/>
    <mergeCell ref="A26:P26"/>
    <mergeCell ref="B40:E40"/>
    <mergeCell ref="A41:E41"/>
    <mergeCell ref="L41:N41"/>
    <mergeCell ref="O41:P41"/>
    <mergeCell ref="O40:P40"/>
    <mergeCell ref="L40:N40"/>
    <mergeCell ref="O39:P39"/>
    <mergeCell ref="E35:J35"/>
    <mergeCell ref="L39:N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0">
      <selection activeCell="I29" sqref="I29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Resultatskj!B12</f>
        <v>5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123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121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124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122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95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8.5</v>
      </c>
      <c r="H9" s="88">
        <v>9</v>
      </c>
      <c r="I9" s="93">
        <f>IF(G9="","",IF(H9="","",(G9+H9)/2))</f>
        <v>8.75</v>
      </c>
      <c r="J9" s="95">
        <f>IF(I9="","",I9*F9)</f>
        <v>35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8</v>
      </c>
      <c r="H10" s="88">
        <v>8</v>
      </c>
      <c r="I10" s="93">
        <f aca="true" t="shared" si="0" ref="I10:I17">IF(G10="","",IF(H10="","",(G10+H10)/2))</f>
        <v>8</v>
      </c>
      <c r="J10" s="95">
        <f aca="true" t="shared" si="1" ref="J10:J18">IF(I10="","",I10*F10)</f>
        <v>32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7</v>
      </c>
      <c r="H12" s="88">
        <v>8</v>
      </c>
      <c r="I12" s="93">
        <f t="shared" si="0"/>
        <v>7.5</v>
      </c>
      <c r="J12" s="95">
        <f t="shared" si="1"/>
        <v>30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6</v>
      </c>
      <c r="H13" s="88">
        <v>7</v>
      </c>
      <c r="I13" s="93">
        <f t="shared" si="0"/>
        <v>6.5</v>
      </c>
      <c r="J13" s="95">
        <f t="shared" si="1"/>
        <v>13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7.5</v>
      </c>
      <c r="H14" s="88">
        <v>7.5</v>
      </c>
      <c r="I14" s="93">
        <f t="shared" si="0"/>
        <v>7.5</v>
      </c>
      <c r="J14" s="95">
        <f t="shared" si="1"/>
        <v>15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8.5</v>
      </c>
      <c r="H15" s="88">
        <v>8</v>
      </c>
      <c r="I15" s="93">
        <f t="shared" si="0"/>
        <v>8.25</v>
      </c>
      <c r="J15" s="95">
        <f t="shared" si="1"/>
        <v>16.5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8.5</v>
      </c>
      <c r="H16" s="88">
        <v>8</v>
      </c>
      <c r="I16" s="93">
        <f t="shared" si="0"/>
        <v>8.25</v>
      </c>
      <c r="J16" s="95">
        <f t="shared" si="1"/>
        <v>24.75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</v>
      </c>
      <c r="H17" s="88">
        <v>9</v>
      </c>
      <c r="I17" s="93">
        <f t="shared" si="0"/>
        <v>9</v>
      </c>
      <c r="J17" s="95">
        <f t="shared" si="1"/>
        <v>18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214.25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5</v>
      </c>
      <c r="H28" s="88">
        <v>5</v>
      </c>
      <c r="I28" s="93">
        <f>IF(G28="","",IF(H28="","",(G28+H28)/2))</f>
        <v>5</v>
      </c>
      <c r="J28" s="95">
        <f>IF(I28="","",I28*F28)</f>
        <v>30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9</v>
      </c>
      <c r="H29" s="88">
        <v>8.5</v>
      </c>
      <c r="I29" s="93">
        <f>IF(G29="","",IF(H29="","",(G29+H29)/2))</f>
        <v>8.75</v>
      </c>
      <c r="J29" s="95">
        <f>IF(I29="","",I29*F29)</f>
        <v>253.75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283.75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214.25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283.75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498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Resultatskj!M12</f>
      </c>
      <c r="O43" s="45"/>
      <c r="P43" s="38">
        <f>Resultatskj!A12</f>
        <v>5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30:E30"/>
    <mergeCell ref="E35:J35"/>
    <mergeCell ref="B23:E23"/>
    <mergeCell ref="A19:E19"/>
    <mergeCell ref="K19:P19"/>
    <mergeCell ref="A20:P20"/>
    <mergeCell ref="B22:E22"/>
    <mergeCell ref="A21:E21"/>
    <mergeCell ref="K21:P21"/>
    <mergeCell ref="K22:P22"/>
    <mergeCell ref="L38:N38"/>
    <mergeCell ref="L36:N36"/>
    <mergeCell ref="L35:N35"/>
    <mergeCell ref="O38:P38"/>
    <mergeCell ref="L34:N34"/>
    <mergeCell ref="E36:J36"/>
    <mergeCell ref="E34:J34"/>
    <mergeCell ref="A38:E38"/>
    <mergeCell ref="K18:P18"/>
    <mergeCell ref="B13:E13"/>
    <mergeCell ref="K14:P14"/>
    <mergeCell ref="B16:E16"/>
    <mergeCell ref="B18:E18"/>
    <mergeCell ref="B15:E15"/>
    <mergeCell ref="A8:E8"/>
    <mergeCell ref="K8:P8"/>
    <mergeCell ref="K16:P16"/>
    <mergeCell ref="K17:P17"/>
    <mergeCell ref="A4:B4"/>
    <mergeCell ref="K4:L4"/>
    <mergeCell ref="A5:B5"/>
    <mergeCell ref="C5:J5"/>
    <mergeCell ref="F1:P1"/>
    <mergeCell ref="A1:E1"/>
    <mergeCell ref="K24:P24"/>
    <mergeCell ref="C4:J4"/>
    <mergeCell ref="K6:L6"/>
    <mergeCell ref="M6:P6"/>
    <mergeCell ref="B17:E17"/>
    <mergeCell ref="K13:P13"/>
    <mergeCell ref="K15:P15"/>
    <mergeCell ref="B14:E14"/>
    <mergeCell ref="K29:P29"/>
    <mergeCell ref="B24:E24"/>
    <mergeCell ref="A25:E25"/>
    <mergeCell ref="K25:P25"/>
    <mergeCell ref="A26:P26"/>
    <mergeCell ref="K27:P27"/>
    <mergeCell ref="B28:E28"/>
    <mergeCell ref="A27:E27"/>
    <mergeCell ref="B29:E29"/>
    <mergeCell ref="A2:B2"/>
    <mergeCell ref="C2:F2"/>
    <mergeCell ref="K23:P23"/>
    <mergeCell ref="K28:P28"/>
    <mergeCell ref="K5:L5"/>
    <mergeCell ref="M5:P5"/>
    <mergeCell ref="M4:P4"/>
    <mergeCell ref="K12:P12"/>
    <mergeCell ref="A7:P7"/>
    <mergeCell ref="B12:E12"/>
    <mergeCell ref="K2:M2"/>
    <mergeCell ref="A3:P3"/>
    <mergeCell ref="K9:P9"/>
    <mergeCell ref="B11:E11"/>
    <mergeCell ref="K11:P11"/>
    <mergeCell ref="B10:E10"/>
    <mergeCell ref="K10:P10"/>
    <mergeCell ref="B9:E9"/>
    <mergeCell ref="A6:B6"/>
    <mergeCell ref="C6:J6"/>
    <mergeCell ref="K30:P30"/>
    <mergeCell ref="A31:P31"/>
    <mergeCell ref="A32:B32"/>
    <mergeCell ref="C32:D32"/>
    <mergeCell ref="A37:D37"/>
    <mergeCell ref="E37:J37"/>
    <mergeCell ref="L33:N33"/>
    <mergeCell ref="L32:N32"/>
    <mergeCell ref="E32:J32"/>
    <mergeCell ref="E33:J33"/>
    <mergeCell ref="B40:E40"/>
    <mergeCell ref="B39:E39"/>
    <mergeCell ref="A41:E41"/>
    <mergeCell ref="L41:N41"/>
    <mergeCell ref="O41:P41"/>
    <mergeCell ref="L40:N40"/>
    <mergeCell ref="O40:P40"/>
    <mergeCell ref="O39:P39"/>
    <mergeCell ref="L39:N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3">
      <selection activeCell="G30" sqref="G30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Resultatskj!B13</f>
        <v>6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125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141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126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86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90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9</v>
      </c>
      <c r="H9" s="88">
        <v>9.5</v>
      </c>
      <c r="I9" s="93">
        <f>IF(G9="","",IF(H9="","",(G9+H9)/2))</f>
        <v>9.25</v>
      </c>
      <c r="J9" s="95">
        <f>IF(I9="","",I9*F9)</f>
        <v>37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8.5</v>
      </c>
      <c r="H10" s="88">
        <v>8.5</v>
      </c>
      <c r="I10" s="93">
        <f aca="true" t="shared" si="0" ref="I10:I17">IF(G10="","",IF(H10="","",(G10+H10)/2))</f>
        <v>8.5</v>
      </c>
      <c r="J10" s="95">
        <f aca="true" t="shared" si="1" ref="J10:J18">IF(I10="","",I10*F10)</f>
        <v>34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7.5</v>
      </c>
      <c r="I11" s="93">
        <f t="shared" si="0"/>
        <v>3.75</v>
      </c>
      <c r="J11" s="95">
        <f t="shared" si="1"/>
        <v>15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9</v>
      </c>
      <c r="I12" s="93">
        <f t="shared" si="0"/>
        <v>9</v>
      </c>
      <c r="J12" s="95">
        <f t="shared" si="1"/>
        <v>36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8</v>
      </c>
      <c r="H13" s="88">
        <v>8</v>
      </c>
      <c r="I13" s="93">
        <f t="shared" si="0"/>
        <v>8</v>
      </c>
      <c r="J13" s="95">
        <f t="shared" si="1"/>
        <v>16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9.5</v>
      </c>
      <c r="H14" s="88">
        <v>9.5</v>
      </c>
      <c r="I14" s="93">
        <f t="shared" si="0"/>
        <v>9.5</v>
      </c>
      <c r="J14" s="95">
        <f t="shared" si="1"/>
        <v>19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8</v>
      </c>
      <c r="H15" s="88">
        <v>8.5</v>
      </c>
      <c r="I15" s="93">
        <f t="shared" si="0"/>
        <v>8.25</v>
      </c>
      <c r="J15" s="95">
        <f t="shared" si="1"/>
        <v>16.5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8</v>
      </c>
      <c r="H16" s="88">
        <v>7.5</v>
      </c>
      <c r="I16" s="93">
        <f t="shared" si="0"/>
        <v>7.75</v>
      </c>
      <c r="J16" s="95">
        <f t="shared" si="1"/>
        <v>23.25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9.5</v>
      </c>
      <c r="I17" s="93">
        <f t="shared" si="0"/>
        <v>9.5</v>
      </c>
      <c r="J17" s="95">
        <f t="shared" si="1"/>
        <v>19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245.75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0</v>
      </c>
      <c r="H28" s="88">
        <v>0</v>
      </c>
      <c r="I28" s="93">
        <f>IF(G28="","",IF(H28="","",(G28+H28)/2))</f>
        <v>0</v>
      </c>
      <c r="J28" s="95">
        <f>IF(I28="","",I28*F28)</f>
        <v>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8.5</v>
      </c>
      <c r="H29" s="88">
        <v>9</v>
      </c>
      <c r="I29" s="93">
        <f>IF(G29="","",IF(H29="","",(G29+H29)/2))</f>
        <v>8.75</v>
      </c>
      <c r="J29" s="95">
        <f>IF(I29="","",I29*F29)</f>
        <v>253.75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253.75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245.75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253.75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499.5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Resultatskj!M13</f>
      </c>
      <c r="O43" s="45"/>
      <c r="P43" s="38">
        <f>Resultatskj!A13</f>
        <v>4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A3:P3"/>
    <mergeCell ref="K24:P24"/>
    <mergeCell ref="K23:P23"/>
    <mergeCell ref="A7:P7"/>
    <mergeCell ref="B12:E12"/>
    <mergeCell ref="B22:E22"/>
    <mergeCell ref="B23:E23"/>
    <mergeCell ref="K12:P12"/>
    <mergeCell ref="K14:P14"/>
    <mergeCell ref="K15:P15"/>
    <mergeCell ref="F1:P1"/>
    <mergeCell ref="A1:E1"/>
    <mergeCell ref="K2:M2"/>
    <mergeCell ref="C2:F2"/>
    <mergeCell ref="A2:B2"/>
    <mergeCell ref="B17:E17"/>
    <mergeCell ref="A8:E8"/>
    <mergeCell ref="K17:P17"/>
    <mergeCell ref="K4:L4"/>
    <mergeCell ref="M4:P4"/>
    <mergeCell ref="A21:E21"/>
    <mergeCell ref="B18:E18"/>
    <mergeCell ref="A19:E19"/>
    <mergeCell ref="K8:P8"/>
    <mergeCell ref="K9:P9"/>
    <mergeCell ref="K10:P10"/>
    <mergeCell ref="K11:P11"/>
    <mergeCell ref="B9:E9"/>
    <mergeCell ref="B10:E10"/>
    <mergeCell ref="B11:E11"/>
    <mergeCell ref="O38:P38"/>
    <mergeCell ref="B39:E39"/>
    <mergeCell ref="E32:J32"/>
    <mergeCell ref="A38:E38"/>
    <mergeCell ref="L38:N38"/>
    <mergeCell ref="C32:D32"/>
    <mergeCell ref="E36:J36"/>
    <mergeCell ref="E35:J35"/>
    <mergeCell ref="A26:P26"/>
    <mergeCell ref="K28:P28"/>
    <mergeCell ref="K27:P27"/>
    <mergeCell ref="L35:N35"/>
    <mergeCell ref="K30:P30"/>
    <mergeCell ref="E33:J33"/>
    <mergeCell ref="E34:J34"/>
    <mergeCell ref="K29:P29"/>
    <mergeCell ref="K18:P18"/>
    <mergeCell ref="A31:P31"/>
    <mergeCell ref="A32:B32"/>
    <mergeCell ref="L32:N32"/>
    <mergeCell ref="K21:P21"/>
    <mergeCell ref="K22:P22"/>
    <mergeCell ref="B24:E24"/>
    <mergeCell ref="A25:E25"/>
    <mergeCell ref="K25:P25"/>
    <mergeCell ref="K19:P19"/>
    <mergeCell ref="A5:B5"/>
    <mergeCell ref="C5:J5"/>
    <mergeCell ref="K5:L5"/>
    <mergeCell ref="M5:P5"/>
    <mergeCell ref="A4:B4"/>
    <mergeCell ref="C4:J4"/>
    <mergeCell ref="C6:J6"/>
    <mergeCell ref="K6:L6"/>
    <mergeCell ref="B13:E13"/>
    <mergeCell ref="K16:P16"/>
    <mergeCell ref="B16:E16"/>
    <mergeCell ref="K13:P13"/>
    <mergeCell ref="B14:E14"/>
    <mergeCell ref="B15:E15"/>
    <mergeCell ref="M6:P6"/>
    <mergeCell ref="A6:B6"/>
    <mergeCell ref="A20:P20"/>
    <mergeCell ref="L36:N36"/>
    <mergeCell ref="A37:D37"/>
    <mergeCell ref="E37:J37"/>
    <mergeCell ref="L33:N33"/>
    <mergeCell ref="L34:N34"/>
    <mergeCell ref="A27:E27"/>
    <mergeCell ref="B29:E29"/>
    <mergeCell ref="A30:E30"/>
    <mergeCell ref="B28:E28"/>
    <mergeCell ref="B40:E40"/>
    <mergeCell ref="A41:E41"/>
    <mergeCell ref="L41:N41"/>
    <mergeCell ref="L39:N39"/>
    <mergeCell ref="O41:P41"/>
    <mergeCell ref="O40:P40"/>
    <mergeCell ref="L40:N40"/>
    <mergeCell ref="O39:P39"/>
    <mergeCell ref="O46:P46"/>
    <mergeCell ref="A42:J44"/>
    <mergeCell ref="A45:E45"/>
    <mergeCell ref="F45:J45"/>
    <mergeCell ref="L45:P45"/>
    <mergeCell ref="L44:P44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3">
      <selection activeCell="M4" sqref="M4:P4"/>
    </sheetView>
  </sheetViews>
  <sheetFormatPr defaultColWidth="11.421875" defaultRowHeight="12.75"/>
  <cols>
    <col min="1" max="1" width="2.7109375" style="0" customWidth="1"/>
    <col min="2" max="2" width="7.7109375" style="0" customWidth="1"/>
    <col min="3" max="3" width="2.7109375" style="0" customWidth="1"/>
    <col min="4" max="4" width="7.7109375" style="0" customWidth="1"/>
    <col min="5" max="5" width="2.7109375" style="0" customWidth="1"/>
    <col min="6" max="6" width="5.7109375" style="0" customWidth="1"/>
    <col min="7" max="9" width="7.7109375" style="0" customWidth="1"/>
    <col min="10" max="10" width="9.7109375" style="0" customWidth="1"/>
    <col min="11" max="11" width="2.7109375" style="0" customWidth="1"/>
    <col min="12" max="16" width="9.28125" style="0" customWidth="1"/>
  </cols>
  <sheetData>
    <row r="1" spans="1:16" ht="58.5" customHeight="1">
      <c r="A1" s="200"/>
      <c r="B1" s="200"/>
      <c r="C1" s="200"/>
      <c r="D1" s="200"/>
      <c r="E1" s="200"/>
      <c r="F1" s="201" t="str">
        <f>1!F1:P1</f>
        <v>Kl. A - DOMMERPROTOKOLL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26.25">
      <c r="A2" s="126" t="str">
        <f>1!A2:B2</f>
        <v>Dato:</v>
      </c>
      <c r="B2" s="179"/>
      <c r="C2" s="206">
        <f>IF(Resultatskj!L2="","",Resultatskj!L2)</f>
        <v>40411</v>
      </c>
      <c r="D2" s="207"/>
      <c r="E2" s="207"/>
      <c r="F2" s="208"/>
      <c r="G2" s="2"/>
      <c r="H2" s="22"/>
      <c r="I2" s="22"/>
      <c r="J2" s="1" t="str">
        <f>1!J2</f>
        <v>Gruppe:</v>
      </c>
      <c r="K2" s="203" t="str">
        <f>IF(Resultatskj!H4="","",Resultatskj!H4)</f>
        <v>Rundering</v>
      </c>
      <c r="L2" s="204"/>
      <c r="M2" s="205"/>
      <c r="N2" s="3"/>
      <c r="O2" s="1" t="s">
        <v>81</v>
      </c>
      <c r="P2" s="40">
        <f>Resultatskj!B14</f>
        <v>7</v>
      </c>
    </row>
    <row r="3" spans="1:16" ht="4.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>
      <c r="A4" s="227" t="str">
        <f>1!A4:B4</f>
        <v>Arrangør:</v>
      </c>
      <c r="B4" s="224"/>
      <c r="C4" s="187" t="str">
        <f>IF(Resultatskj!$C$2="","",Resultatskj!$C$2)</f>
        <v>Salten Brukshundklubb</v>
      </c>
      <c r="D4" s="187"/>
      <c r="E4" s="187"/>
      <c r="F4" s="187"/>
      <c r="G4" s="187"/>
      <c r="H4" s="187"/>
      <c r="I4" s="187"/>
      <c r="J4" s="188"/>
      <c r="K4" s="224" t="str">
        <f>1!K4:L4</f>
        <v>Hundens navn:</v>
      </c>
      <c r="L4" s="225"/>
      <c r="M4" s="232" t="s">
        <v>96</v>
      </c>
      <c r="N4" s="232"/>
      <c r="O4" s="232"/>
      <c r="P4" s="233"/>
    </row>
    <row r="5" spans="1:16" ht="15.75">
      <c r="A5" s="180" t="str">
        <f>1!A5:B5</f>
        <v>Fører:</v>
      </c>
      <c r="B5" s="181"/>
      <c r="C5" s="230" t="s">
        <v>97</v>
      </c>
      <c r="D5" s="230"/>
      <c r="E5" s="230"/>
      <c r="F5" s="230"/>
      <c r="G5" s="230"/>
      <c r="H5" s="230"/>
      <c r="I5" s="230"/>
      <c r="J5" s="107"/>
      <c r="K5" s="226" t="str">
        <f>1!K5:L5</f>
        <v>Reg.nr.:</v>
      </c>
      <c r="L5" s="181"/>
      <c r="M5" s="230" t="s">
        <v>127</v>
      </c>
      <c r="N5" s="230"/>
      <c r="O5" s="230"/>
      <c r="P5" s="234"/>
    </row>
    <row r="6" spans="1:16" ht="16.5" thickBot="1">
      <c r="A6" s="182" t="str">
        <f>1!A6:B6</f>
        <v>Klubb:</v>
      </c>
      <c r="B6" s="176"/>
      <c r="C6" s="209" t="s">
        <v>98</v>
      </c>
      <c r="D6" s="209"/>
      <c r="E6" s="209"/>
      <c r="F6" s="209"/>
      <c r="G6" s="209"/>
      <c r="H6" s="209"/>
      <c r="I6" s="209"/>
      <c r="J6" s="231"/>
      <c r="K6" s="175" t="str">
        <f>1!K6:L6</f>
        <v>Rase:</v>
      </c>
      <c r="L6" s="176"/>
      <c r="M6" s="209" t="s">
        <v>85</v>
      </c>
      <c r="N6" s="209"/>
      <c r="O6" s="209"/>
      <c r="P6" s="210"/>
    </row>
    <row r="7" spans="1:16" ht="18.75" thickBot="1">
      <c r="A7" s="189" t="str">
        <f>1!A7</f>
        <v>Lydighet: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>
      <c r="A8" s="228" t="str">
        <f>1!A8</f>
        <v>Øvelser:</v>
      </c>
      <c r="B8" s="229"/>
      <c r="C8" s="229"/>
      <c r="D8" s="229"/>
      <c r="E8" s="229"/>
      <c r="F8" s="39" t="str">
        <f>1!F8</f>
        <v>Koeff.</v>
      </c>
      <c r="G8" s="39" t="str">
        <f>1!G8</f>
        <v>Karakter</v>
      </c>
      <c r="H8" s="39" t="s">
        <v>17</v>
      </c>
      <c r="I8" s="39" t="s">
        <v>79</v>
      </c>
      <c r="J8" s="39" t="str">
        <f>1!J8</f>
        <v>Poeng</v>
      </c>
      <c r="K8" s="211"/>
      <c r="L8" s="212"/>
      <c r="M8" s="212"/>
      <c r="N8" s="212"/>
      <c r="O8" s="212"/>
      <c r="P8" s="213"/>
    </row>
    <row r="9" spans="1:16" ht="14.25">
      <c r="A9" s="5">
        <f>1!A9</f>
        <v>1</v>
      </c>
      <c r="B9" s="171" t="str">
        <f>1!B9</f>
        <v>Fri ved foten</v>
      </c>
      <c r="C9" s="171"/>
      <c r="D9" s="171"/>
      <c r="E9" s="171"/>
      <c r="F9" s="6">
        <v>4</v>
      </c>
      <c r="G9" s="88">
        <v>9.5</v>
      </c>
      <c r="H9" s="88">
        <v>9</v>
      </c>
      <c r="I9" s="93">
        <f>IF(G9="","",IF(H9="","",(G9+H9)/2))</f>
        <v>9.25</v>
      </c>
      <c r="J9" s="95">
        <f>IF(I9="","",I9*F9)</f>
        <v>37</v>
      </c>
      <c r="K9" s="172"/>
      <c r="L9" s="173"/>
      <c r="M9" s="173"/>
      <c r="N9" s="173"/>
      <c r="O9" s="173"/>
      <c r="P9" s="174"/>
    </row>
    <row r="10" spans="1:16" ht="14.25">
      <c r="A10" s="5">
        <f>1!A10</f>
        <v>2</v>
      </c>
      <c r="B10" s="171" t="str">
        <f>1!B10</f>
        <v>Innkalling m/stå og dekk</v>
      </c>
      <c r="C10" s="171"/>
      <c r="D10" s="171"/>
      <c r="E10" s="171"/>
      <c r="F10" s="6">
        <v>4</v>
      </c>
      <c r="G10" s="88">
        <v>9</v>
      </c>
      <c r="H10" s="88">
        <v>8.5</v>
      </c>
      <c r="I10" s="93">
        <f aca="true" t="shared" si="0" ref="I10:I17">IF(G10="","",IF(H10="","",(G10+H10)/2))</f>
        <v>8.75</v>
      </c>
      <c r="J10" s="95">
        <f aca="true" t="shared" si="1" ref="J10:J18">IF(I10="","",I10*F10)</f>
        <v>35</v>
      </c>
      <c r="K10" s="172"/>
      <c r="L10" s="173"/>
      <c r="M10" s="173"/>
      <c r="N10" s="173"/>
      <c r="O10" s="173"/>
      <c r="P10" s="174"/>
    </row>
    <row r="11" spans="1:16" ht="14.25">
      <c r="A11" s="5">
        <f>1!A11</f>
        <v>3</v>
      </c>
      <c r="B11" s="171" t="str">
        <f>1!B11</f>
        <v>Fremadsending</v>
      </c>
      <c r="C11" s="171"/>
      <c r="D11" s="171"/>
      <c r="E11" s="171"/>
      <c r="F11" s="6">
        <v>4</v>
      </c>
      <c r="G11" s="88">
        <v>0</v>
      </c>
      <c r="H11" s="88">
        <v>0</v>
      </c>
      <c r="I11" s="93">
        <f t="shared" si="0"/>
        <v>0</v>
      </c>
      <c r="J11" s="95">
        <f t="shared" si="1"/>
        <v>0</v>
      </c>
      <c r="K11" s="172"/>
      <c r="L11" s="173"/>
      <c r="M11" s="173"/>
      <c r="N11" s="173"/>
      <c r="O11" s="173"/>
      <c r="P11" s="174"/>
    </row>
    <row r="12" spans="1:16" ht="14.25">
      <c r="A12" s="5">
        <f>1!A12</f>
        <v>4</v>
      </c>
      <c r="B12" s="171" t="str">
        <f>1!B12</f>
        <v>Kryp</v>
      </c>
      <c r="C12" s="171"/>
      <c r="D12" s="171"/>
      <c r="E12" s="171"/>
      <c r="F12" s="6">
        <v>4</v>
      </c>
      <c r="G12" s="88">
        <v>9</v>
      </c>
      <c r="H12" s="88">
        <v>9.5</v>
      </c>
      <c r="I12" s="93">
        <f t="shared" si="0"/>
        <v>9.25</v>
      </c>
      <c r="J12" s="95">
        <f t="shared" si="1"/>
        <v>37</v>
      </c>
      <c r="K12" s="172"/>
      <c r="L12" s="173"/>
      <c r="M12" s="173"/>
      <c r="N12" s="173"/>
      <c r="O12" s="173"/>
      <c r="P12" s="174"/>
    </row>
    <row r="13" spans="1:16" ht="14.25">
      <c r="A13" s="5">
        <f>1!A13</f>
        <v>5</v>
      </c>
      <c r="B13" s="171" t="str">
        <f>1!B13</f>
        <v>Hals på kommando</v>
      </c>
      <c r="C13" s="171"/>
      <c r="D13" s="171"/>
      <c r="E13" s="171"/>
      <c r="F13" s="6">
        <v>2</v>
      </c>
      <c r="G13" s="88">
        <v>0</v>
      </c>
      <c r="H13" s="88">
        <v>5</v>
      </c>
      <c r="I13" s="93">
        <f t="shared" si="0"/>
        <v>2.5</v>
      </c>
      <c r="J13" s="95">
        <f t="shared" si="1"/>
        <v>5</v>
      </c>
      <c r="K13" s="172"/>
      <c r="L13" s="173"/>
      <c r="M13" s="173"/>
      <c r="N13" s="173"/>
      <c r="O13" s="173"/>
      <c r="P13" s="174"/>
    </row>
    <row r="14" spans="1:16" ht="14.25">
      <c r="A14" s="5">
        <f>1!A14</f>
        <v>6</v>
      </c>
      <c r="B14" s="171" t="str">
        <f>1!B14</f>
        <v>Fritt hopp over hinder</v>
      </c>
      <c r="C14" s="171"/>
      <c r="D14" s="171"/>
      <c r="E14" s="171"/>
      <c r="F14" s="6">
        <v>2</v>
      </c>
      <c r="G14" s="88">
        <v>8</v>
      </c>
      <c r="H14" s="88">
        <v>7</v>
      </c>
      <c r="I14" s="93">
        <f t="shared" si="0"/>
        <v>7.5</v>
      </c>
      <c r="J14" s="95">
        <f t="shared" si="1"/>
        <v>15</v>
      </c>
      <c r="K14" s="172"/>
      <c r="L14" s="173"/>
      <c r="M14" s="173"/>
      <c r="N14" s="173"/>
      <c r="O14" s="173"/>
      <c r="P14" s="174"/>
    </row>
    <row r="15" spans="1:16" ht="14.25">
      <c r="A15" s="5">
        <f>1!A15</f>
        <v>7</v>
      </c>
      <c r="B15" s="171" t="str">
        <f>1!B15</f>
        <v>Apportering metallapport</v>
      </c>
      <c r="C15" s="171"/>
      <c r="D15" s="171"/>
      <c r="E15" s="171"/>
      <c r="F15" s="6">
        <v>2</v>
      </c>
      <c r="G15" s="88">
        <v>10</v>
      </c>
      <c r="H15" s="88">
        <v>10</v>
      </c>
      <c r="I15" s="93">
        <f t="shared" si="0"/>
        <v>10</v>
      </c>
      <c r="J15" s="95">
        <f t="shared" si="1"/>
        <v>20</v>
      </c>
      <c r="K15" s="172"/>
      <c r="L15" s="173"/>
      <c r="M15" s="173"/>
      <c r="N15" s="173"/>
      <c r="O15" s="173"/>
      <c r="P15" s="174"/>
    </row>
    <row r="16" spans="1:16" ht="14.25">
      <c r="A16" s="5">
        <f>1!A16</f>
        <v>8</v>
      </c>
      <c r="B16" s="171" t="str">
        <f>1!B16</f>
        <v>Apportering tung gjenstand</v>
      </c>
      <c r="C16" s="171"/>
      <c r="D16" s="171"/>
      <c r="E16" s="171"/>
      <c r="F16" s="6">
        <v>3</v>
      </c>
      <c r="G16" s="88">
        <v>10</v>
      </c>
      <c r="H16" s="88">
        <v>10</v>
      </c>
      <c r="I16" s="93">
        <f t="shared" si="0"/>
        <v>10</v>
      </c>
      <c r="J16" s="95">
        <f t="shared" si="1"/>
        <v>30</v>
      </c>
      <c r="K16" s="172"/>
      <c r="L16" s="173"/>
      <c r="M16" s="173"/>
      <c r="N16" s="173"/>
      <c r="O16" s="173"/>
      <c r="P16" s="174"/>
    </row>
    <row r="17" spans="1:16" ht="14.25">
      <c r="A17" s="5">
        <f>1!A17</f>
        <v>9</v>
      </c>
      <c r="B17" s="171" t="str">
        <f>1!B17</f>
        <v>Stigeklatring</v>
      </c>
      <c r="C17" s="171"/>
      <c r="D17" s="171"/>
      <c r="E17" s="171"/>
      <c r="F17" s="6">
        <v>2</v>
      </c>
      <c r="G17" s="88">
        <v>9.5</v>
      </c>
      <c r="H17" s="88">
        <v>10</v>
      </c>
      <c r="I17" s="93">
        <f t="shared" si="0"/>
        <v>9.75</v>
      </c>
      <c r="J17" s="95">
        <f t="shared" si="1"/>
        <v>19.5</v>
      </c>
      <c r="K17" s="172"/>
      <c r="L17" s="173"/>
      <c r="M17" s="173"/>
      <c r="N17" s="173"/>
      <c r="O17" s="173"/>
      <c r="P17" s="174"/>
    </row>
    <row r="18" spans="1:16" ht="14.25">
      <c r="A18" s="5">
        <f>1!A18</f>
        <v>10</v>
      </c>
      <c r="B18" s="171" t="str">
        <f>1!B18</f>
        <v>Fellesdekk</v>
      </c>
      <c r="C18" s="171"/>
      <c r="D18" s="171"/>
      <c r="E18" s="171"/>
      <c r="F18" s="6">
        <v>3</v>
      </c>
      <c r="G18" s="88">
        <v>10</v>
      </c>
      <c r="H18" s="88">
        <v>10</v>
      </c>
      <c r="I18" s="93">
        <f>IF(G18="","",IF(H18="","",(G18+H18)/2))</f>
        <v>10</v>
      </c>
      <c r="J18" s="95">
        <f t="shared" si="1"/>
        <v>30</v>
      </c>
      <c r="K18" s="172"/>
      <c r="L18" s="173"/>
      <c r="M18" s="173"/>
      <c r="N18" s="173"/>
      <c r="O18" s="173"/>
      <c r="P18" s="174"/>
    </row>
    <row r="19" spans="1:16" ht="16.5" thickBot="1">
      <c r="A19" s="183" t="str">
        <f>1!A19</f>
        <v>Sum lydighet:</v>
      </c>
      <c r="B19" s="184"/>
      <c r="C19" s="184"/>
      <c r="D19" s="184"/>
      <c r="E19" s="184"/>
      <c r="F19" s="7">
        <f>SUM(F9:F18)</f>
        <v>30</v>
      </c>
      <c r="G19" s="8"/>
      <c r="H19" s="57"/>
      <c r="I19" s="57"/>
      <c r="J19" s="96">
        <f>SUM(J9:J18)</f>
        <v>228.5</v>
      </c>
      <c r="K19" s="191"/>
      <c r="L19" s="185"/>
      <c r="M19" s="185"/>
      <c r="N19" s="185"/>
      <c r="O19" s="185"/>
      <c r="P19" s="192"/>
    </row>
    <row r="20" spans="1:16" ht="18.75" thickBot="1">
      <c r="A20" s="189" t="str">
        <f>1!A20</f>
        <v>Sporgruppen: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</row>
    <row r="21" spans="1:16" ht="12.75">
      <c r="A21" s="228" t="str">
        <f>1!A21</f>
        <v>Øvelser:</v>
      </c>
      <c r="B21" s="229"/>
      <c r="C21" s="229"/>
      <c r="D21" s="229"/>
      <c r="E21" s="229"/>
      <c r="F21" s="39" t="str">
        <f>1!F21</f>
        <v>Koeff.</v>
      </c>
      <c r="G21" s="39" t="str">
        <f>1!G21</f>
        <v>Karakter</v>
      </c>
      <c r="H21" s="39" t="s">
        <v>17</v>
      </c>
      <c r="I21" s="39" t="s">
        <v>79</v>
      </c>
      <c r="J21" s="39" t="str">
        <f>1!J21</f>
        <v>Poeng</v>
      </c>
      <c r="K21" s="211"/>
      <c r="L21" s="212"/>
      <c r="M21" s="212"/>
      <c r="N21" s="212"/>
      <c r="O21" s="212"/>
      <c r="P21" s="213"/>
    </row>
    <row r="22" spans="1:16" ht="14.25">
      <c r="A22" s="5">
        <f>1!A22</f>
        <v>11</v>
      </c>
      <c r="B22" s="171" t="str">
        <f>1!B22</f>
        <v>Feltsøk</v>
      </c>
      <c r="C22" s="171"/>
      <c r="D22" s="171"/>
      <c r="E22" s="171"/>
      <c r="F22" s="6">
        <f>1!F22</f>
        <v>6</v>
      </c>
      <c r="G22" s="88"/>
      <c r="H22" s="88"/>
      <c r="I22" s="93">
        <f>IF(G22="","",IF(H22="","",(G22+H22)/2))</f>
      </c>
      <c r="J22" s="95">
        <f>IF(I22="","",I22*F22)</f>
      </c>
      <c r="K22" s="172"/>
      <c r="L22" s="173"/>
      <c r="M22" s="173"/>
      <c r="N22" s="173"/>
      <c r="O22" s="173"/>
      <c r="P22" s="174"/>
    </row>
    <row r="23" spans="1:16" ht="14.25">
      <c r="A23" s="5">
        <f>1!A23</f>
        <v>12</v>
      </c>
      <c r="B23" s="171" t="str">
        <f>1!B23</f>
        <v>Sporoppsøk</v>
      </c>
      <c r="C23" s="171"/>
      <c r="D23" s="171"/>
      <c r="E23" s="171"/>
      <c r="F23" s="6">
        <f>1!F23</f>
        <v>8</v>
      </c>
      <c r="G23" s="88"/>
      <c r="H23" s="88"/>
      <c r="I23" s="93">
        <f>IF(G23="","",IF(H23="","",(G23+H23)/2))</f>
      </c>
      <c r="J23" s="95">
        <f>IF(I23="","",I23*F23)</f>
      </c>
      <c r="K23" s="194"/>
      <c r="L23" s="195"/>
      <c r="M23" s="195"/>
      <c r="N23" s="195"/>
      <c r="O23" s="195"/>
      <c r="P23" s="196"/>
    </row>
    <row r="24" spans="1:16" ht="14.25">
      <c r="A24" s="5">
        <f>1!A24</f>
        <v>13</v>
      </c>
      <c r="B24" s="171" t="str">
        <f>1!B24</f>
        <v>Spor</v>
      </c>
      <c r="C24" s="171"/>
      <c r="D24" s="171"/>
      <c r="E24" s="171"/>
      <c r="F24" s="6">
        <f>1!F24</f>
        <v>21</v>
      </c>
      <c r="G24" s="88"/>
      <c r="H24" s="88"/>
      <c r="I24" s="93">
        <f>IF(G24="","",IF(H24="","",(G24+H24)/2))</f>
      </c>
      <c r="J24" s="95">
        <f>IF(I24="","",I24*F24)</f>
      </c>
      <c r="K24" s="194"/>
      <c r="L24" s="195"/>
      <c r="M24" s="195"/>
      <c r="N24" s="195"/>
      <c r="O24" s="195"/>
      <c r="P24" s="196"/>
    </row>
    <row r="25" spans="1:16" ht="16.5" thickBot="1">
      <c r="A25" s="183" t="str">
        <f>1!A25</f>
        <v>Sum spesialøvelser:</v>
      </c>
      <c r="B25" s="184"/>
      <c r="C25" s="184"/>
      <c r="D25" s="184"/>
      <c r="E25" s="184"/>
      <c r="F25" s="7">
        <f>SUM(F22:F24)</f>
        <v>35</v>
      </c>
      <c r="G25" s="8"/>
      <c r="H25" s="57"/>
      <c r="I25" s="57"/>
      <c r="J25" s="96">
        <f>IF(AND(J22="",J23="",J24=""),"",SUM(J22:J24))</f>
      </c>
      <c r="K25" s="191"/>
      <c r="L25" s="185"/>
      <c r="M25" s="185"/>
      <c r="N25" s="185"/>
      <c r="O25" s="185"/>
      <c r="P25" s="192"/>
    </row>
    <row r="26" spans="1:16" ht="18.75" thickBot="1">
      <c r="A26" s="189" t="str">
        <f>1!A26</f>
        <v>Runderingsgruppen: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  <row r="27" spans="1:16" ht="12.75">
      <c r="A27" s="228" t="str">
        <f>1!A27</f>
        <v>Øvelser:</v>
      </c>
      <c r="B27" s="229"/>
      <c r="C27" s="229"/>
      <c r="D27" s="229"/>
      <c r="E27" s="229"/>
      <c r="F27" s="39" t="str">
        <f>1!F27</f>
        <v>Koeff.</v>
      </c>
      <c r="G27" s="39" t="s">
        <v>17</v>
      </c>
      <c r="H27" s="39" t="s">
        <v>17</v>
      </c>
      <c r="I27" s="39" t="s">
        <v>79</v>
      </c>
      <c r="J27" s="39" t="str">
        <f>1!J27</f>
        <v>Poeng</v>
      </c>
      <c r="K27" s="211"/>
      <c r="L27" s="212"/>
      <c r="M27" s="212"/>
      <c r="N27" s="212"/>
      <c r="O27" s="212"/>
      <c r="P27" s="213"/>
    </row>
    <row r="28" spans="1:16" ht="14.25">
      <c r="A28" s="5">
        <f>1!A28</f>
        <v>11</v>
      </c>
      <c r="B28" s="171" t="str">
        <f>1!B28</f>
        <v>Feltsøk</v>
      </c>
      <c r="C28" s="171"/>
      <c r="D28" s="171"/>
      <c r="E28" s="171"/>
      <c r="F28" s="6">
        <f>1!F28</f>
        <v>6</v>
      </c>
      <c r="G28" s="88">
        <v>0</v>
      </c>
      <c r="H28" s="88">
        <v>0</v>
      </c>
      <c r="I28" s="93">
        <f>IF(G28="","",IF(H28="","",(G28+H28)/2))</f>
        <v>0</v>
      </c>
      <c r="J28" s="95">
        <f>IF(I28="","",I28*F28)</f>
        <v>0</v>
      </c>
      <c r="K28" s="172"/>
      <c r="L28" s="173"/>
      <c r="M28" s="173"/>
      <c r="N28" s="173"/>
      <c r="O28" s="173"/>
      <c r="P28" s="174"/>
    </row>
    <row r="29" spans="1:16" ht="14.25">
      <c r="A29" s="5">
        <f>1!A29</f>
        <v>12</v>
      </c>
      <c r="B29" s="171" t="str">
        <f>1!B29</f>
        <v>Rundering</v>
      </c>
      <c r="C29" s="171"/>
      <c r="D29" s="171"/>
      <c r="E29" s="171"/>
      <c r="F29" s="6">
        <f>1!F29</f>
        <v>29</v>
      </c>
      <c r="G29" s="88">
        <v>9.5</v>
      </c>
      <c r="H29" s="88">
        <v>9.5</v>
      </c>
      <c r="I29" s="93">
        <f>IF(G29="","",IF(H29="","",(G29+H29)/2))</f>
        <v>9.5</v>
      </c>
      <c r="J29" s="95">
        <f>IF(I29="","",I29*F29)</f>
        <v>275.5</v>
      </c>
      <c r="K29" s="172"/>
      <c r="L29" s="173"/>
      <c r="M29" s="173"/>
      <c r="N29" s="173"/>
      <c r="O29" s="173"/>
      <c r="P29" s="174"/>
    </row>
    <row r="30" spans="1:16" ht="18.75" customHeight="1" thickBot="1">
      <c r="A30" s="183" t="str">
        <f>1!A30</f>
        <v>Sum spesialøvelser:</v>
      </c>
      <c r="B30" s="184"/>
      <c r="C30" s="184"/>
      <c r="D30" s="184"/>
      <c r="E30" s="184"/>
      <c r="F30" s="7">
        <f>SUM(F28:F29)</f>
        <v>35</v>
      </c>
      <c r="G30" s="8"/>
      <c r="H30" s="57"/>
      <c r="I30" s="57"/>
      <c r="J30" s="96">
        <f>IF(AND(J28="",J29=""),"",SUM(J28:J29))</f>
        <v>275.5</v>
      </c>
      <c r="K30" s="191"/>
      <c r="L30" s="185" t="s">
        <v>22</v>
      </c>
      <c r="M30" s="185"/>
      <c r="N30" s="185"/>
      <c r="O30" s="185">
        <v>300</v>
      </c>
      <c r="P30" s="192" t="s">
        <v>24</v>
      </c>
    </row>
    <row r="31" spans="1:16" ht="18.75" thickBot="1">
      <c r="A31" s="189" t="str">
        <f>1!A31</f>
        <v>Rapportgruppen: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ht="12.75">
      <c r="A32" s="177" t="str">
        <f>1!A32</f>
        <v>Start kl.:</v>
      </c>
      <c r="B32" s="178">
        <v>0</v>
      </c>
      <c r="C32" s="124" t="str">
        <f>1!C32</f>
        <v>Ankomst kl.:</v>
      </c>
      <c r="D32" s="178">
        <v>0</v>
      </c>
      <c r="E32" s="248" t="str">
        <f>1!E32:J32</f>
        <v>Anvendt tid:</v>
      </c>
      <c r="F32" s="249"/>
      <c r="G32" s="249"/>
      <c r="H32" s="249"/>
      <c r="I32" s="249"/>
      <c r="J32" s="250"/>
      <c r="K32" s="9"/>
      <c r="L32" s="228" t="str">
        <f>1!L32:N32</f>
        <v>Godkjent</v>
      </c>
      <c r="M32" s="212"/>
      <c r="N32" s="212"/>
      <c r="O32" s="46">
        <f>1!O32</f>
        <v>325</v>
      </c>
      <c r="P32" s="47" t="str">
        <f>1!P32</f>
        <v>poeng</v>
      </c>
    </row>
    <row r="33" spans="1:16" ht="12.75">
      <c r="A33" s="42" t="str">
        <f>1!A33</f>
        <v>B</v>
      </c>
      <c r="B33" s="89">
        <v>0</v>
      </c>
      <c r="C33" s="12" t="str">
        <f>1!C33</f>
        <v>A</v>
      </c>
      <c r="D33" s="89">
        <v>0</v>
      </c>
      <c r="E33" s="214">
        <f>SUM(B33,D33)</f>
        <v>0</v>
      </c>
      <c r="F33" s="181"/>
      <c r="G33" s="181"/>
      <c r="H33" s="181"/>
      <c r="I33" s="181"/>
      <c r="J33" s="215"/>
      <c r="K33" s="9"/>
      <c r="L33" s="125" t="str">
        <f>1!L33:N33</f>
        <v>- Derav i spesialøvelsene</v>
      </c>
      <c r="M33" s="258"/>
      <c r="N33" s="258"/>
      <c r="O33" s="48">
        <f>1!O33</f>
        <v>175</v>
      </c>
      <c r="P33" s="49" t="str">
        <f>1!P33</f>
        <v>poeng</v>
      </c>
    </row>
    <row r="34" spans="1:16" ht="12.75">
      <c r="A34" s="42" t="str">
        <f>1!A34</f>
        <v>A</v>
      </c>
      <c r="B34" s="89">
        <v>0</v>
      </c>
      <c r="C34" s="12" t="str">
        <f>1!C34</f>
        <v>B</v>
      </c>
      <c r="D34" s="89">
        <v>0</v>
      </c>
      <c r="E34" s="214">
        <f>SUM(B34,D34)</f>
        <v>0</v>
      </c>
      <c r="F34" s="181"/>
      <c r="G34" s="181"/>
      <c r="H34" s="181"/>
      <c r="I34" s="181"/>
      <c r="J34" s="215"/>
      <c r="K34" s="9"/>
      <c r="L34" s="256" t="str">
        <f>1!L34:N34</f>
        <v>Cert/CACIT</v>
      </c>
      <c r="M34" s="257"/>
      <c r="N34" s="257"/>
      <c r="O34" s="48">
        <f>1!O34</f>
        <v>520</v>
      </c>
      <c r="P34" s="49" t="str">
        <f>1!P34</f>
        <v>poeng</v>
      </c>
    </row>
    <row r="35" spans="1:16" ht="12.75">
      <c r="A35" s="42" t="str">
        <f>1!A35</f>
        <v>C</v>
      </c>
      <c r="B35" s="89">
        <v>0</v>
      </c>
      <c r="C35" s="12" t="str">
        <f>1!C35</f>
        <v>A</v>
      </c>
      <c r="D35" s="89">
        <v>0</v>
      </c>
      <c r="E35" s="214">
        <f>SUM(B35,D35)</f>
        <v>0</v>
      </c>
      <c r="F35" s="181"/>
      <c r="G35" s="181"/>
      <c r="H35" s="181"/>
      <c r="I35" s="181"/>
      <c r="J35" s="215"/>
      <c r="K35" s="9"/>
      <c r="L35" s="125" t="str">
        <f>1!L35:N35</f>
        <v>- Derav i spesialøvelsene</v>
      </c>
      <c r="M35" s="258"/>
      <c r="N35" s="258"/>
      <c r="O35" s="48">
        <f>1!O35</f>
        <v>232</v>
      </c>
      <c r="P35" s="49" t="str">
        <f>1!P35</f>
        <v>poeng</v>
      </c>
    </row>
    <row r="36" spans="1:16" ht="13.5" thickBot="1">
      <c r="A36" s="42" t="str">
        <f>1!A36</f>
        <v>A</v>
      </c>
      <c r="B36" s="89">
        <v>0</v>
      </c>
      <c r="C36" s="12" t="str">
        <f>1!C36</f>
        <v>D</v>
      </c>
      <c r="D36" s="89">
        <v>0</v>
      </c>
      <c r="E36" s="214">
        <f>SUM(E32:J35)</f>
        <v>0</v>
      </c>
      <c r="F36" s="181"/>
      <c r="G36" s="181"/>
      <c r="H36" s="181"/>
      <c r="I36" s="181"/>
      <c r="J36" s="215"/>
      <c r="K36" s="9"/>
      <c r="L36" s="127" t="str">
        <f>1!L36:N36</f>
        <v>- Derav i lydighetsøvelsene</v>
      </c>
      <c r="M36" s="259"/>
      <c r="N36" s="259"/>
      <c r="O36" s="50">
        <f>1!O36</f>
        <v>210</v>
      </c>
      <c r="P36" s="51" t="str">
        <f>1!P36</f>
        <v>poeng</v>
      </c>
    </row>
    <row r="37" spans="1:16" ht="13.5" thickBot="1">
      <c r="A37" s="219" t="str">
        <f>1!A37</f>
        <v>Anvendt tid totalt:</v>
      </c>
      <c r="B37" s="220"/>
      <c r="C37" s="220"/>
      <c r="D37" s="221"/>
      <c r="E37" s="222">
        <f>SUM(E33:J36)</f>
        <v>0</v>
      </c>
      <c r="F37" s="176"/>
      <c r="G37" s="176"/>
      <c r="H37" s="176"/>
      <c r="I37" s="176"/>
      <c r="J37" s="223"/>
      <c r="K37" s="22"/>
      <c r="L37" s="22"/>
      <c r="M37" s="22"/>
      <c r="N37" s="22"/>
      <c r="O37" s="22"/>
      <c r="P37" s="22"/>
    </row>
    <row r="38" spans="1:16" ht="12.75">
      <c r="A38" s="228" t="str">
        <f>1!A38</f>
        <v>Øvelser:</v>
      </c>
      <c r="B38" s="229"/>
      <c r="C38" s="229"/>
      <c r="D38" s="229"/>
      <c r="E38" s="229"/>
      <c r="F38" s="39" t="str">
        <f>1!F38</f>
        <v>Koeff.</v>
      </c>
      <c r="G38" s="39" t="str">
        <f>1!G38</f>
        <v>Karakter</v>
      </c>
      <c r="H38" s="58" t="s">
        <v>17</v>
      </c>
      <c r="I38" s="58" t="s">
        <v>78</v>
      </c>
      <c r="J38" s="41" t="str">
        <f>1!J38</f>
        <v>Poeng</v>
      </c>
      <c r="K38" s="9"/>
      <c r="L38" s="123"/>
      <c r="M38" s="198"/>
      <c r="N38" s="198"/>
      <c r="O38" s="197" t="str">
        <f>1!O38:P38</f>
        <v>Poeng</v>
      </c>
      <c r="P38" s="218"/>
    </row>
    <row r="39" spans="1:16" ht="14.25">
      <c r="A39" s="5">
        <f>1!A39</f>
        <v>11</v>
      </c>
      <c r="B39" s="171" t="str">
        <f>1!B39</f>
        <v>Feltsøk</v>
      </c>
      <c r="C39" s="171"/>
      <c r="D39" s="171"/>
      <c r="E39" s="171"/>
      <c r="F39" s="6">
        <f>1!F39</f>
        <v>6</v>
      </c>
      <c r="G39" s="88"/>
      <c r="H39" s="91"/>
      <c r="I39" s="94">
        <f>IF(G39="","",IF(H39="","",(G39+H39)/2))</f>
      </c>
      <c r="J39" s="97">
        <f>IF(I39="","",I39*F28)</f>
      </c>
      <c r="K39" s="9"/>
      <c r="L39" s="125" t="str">
        <f>1!L39:N39</f>
        <v>Sum Lydighet</v>
      </c>
      <c r="M39" s="193"/>
      <c r="N39" s="193"/>
      <c r="O39" s="235">
        <f>J19</f>
        <v>228.5</v>
      </c>
      <c r="P39" s="236"/>
    </row>
    <row r="40" spans="1:16" ht="15" thickBot="1">
      <c r="A40" s="5">
        <f>1!A40</f>
        <v>12</v>
      </c>
      <c r="B40" s="171" t="str">
        <f>1!B40</f>
        <v>Rapport</v>
      </c>
      <c r="C40" s="171"/>
      <c r="D40" s="171"/>
      <c r="E40" s="171"/>
      <c r="F40" s="6">
        <f>1!F40</f>
        <v>29</v>
      </c>
      <c r="G40" s="88"/>
      <c r="H40" s="91"/>
      <c r="I40" s="94">
        <f>IF(G40="","",IF(H40="","",(G40+H40)/2))</f>
      </c>
      <c r="J40" s="97">
        <f>IF(I40="","",I40*F29)</f>
      </c>
      <c r="K40" s="9"/>
      <c r="L40" s="125" t="str">
        <f>1!L40:N40</f>
        <v>Sum Spesialøvelser</v>
      </c>
      <c r="M40" s="193"/>
      <c r="N40" s="193"/>
      <c r="O40" s="237">
        <f>IF(Resultatskj!H4="Rundering",J30,IF(Resultatskj!H4="Spor",J25,IF(Resultatskj!H4="Rapport",J41,"")))</f>
        <v>275.5</v>
      </c>
      <c r="P40" s="238"/>
    </row>
    <row r="41" spans="1:16" ht="16.5" thickBot="1">
      <c r="A41" s="183" t="str">
        <f>1!A41</f>
        <v>Sum spesialøvelser:</v>
      </c>
      <c r="B41" s="184"/>
      <c r="C41" s="184"/>
      <c r="D41" s="184"/>
      <c r="E41" s="184"/>
      <c r="F41" s="7"/>
      <c r="G41" s="8"/>
      <c r="H41" s="59"/>
      <c r="I41" s="59"/>
      <c r="J41" s="98"/>
      <c r="K41" s="9"/>
      <c r="L41" s="127" t="str">
        <f>1!L41:N41</f>
        <v>Totalpoeng</v>
      </c>
      <c r="M41" s="185"/>
      <c r="N41" s="192"/>
      <c r="O41" s="240">
        <f>SUM(O39:P40)</f>
        <v>504</v>
      </c>
      <c r="P41" s="241"/>
    </row>
    <row r="42" spans="1:16" ht="12.7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9"/>
      <c r="L42" s="52" t="str">
        <f>1!L42</f>
        <v>Ikke godkj.</v>
      </c>
      <c r="M42" s="4" t="str">
        <f>1!M42</f>
        <v>Godkj.</v>
      </c>
      <c r="N42" s="4" t="str">
        <f>1!N42</f>
        <v>Cert</v>
      </c>
      <c r="O42" s="4" t="str">
        <f>1!O42</f>
        <v>CACIT</v>
      </c>
      <c r="P42" s="24" t="str">
        <f>1!P42</f>
        <v>Plass</v>
      </c>
    </row>
    <row r="43" spans="1:16" ht="24.75" customHeight="1" thickBo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9"/>
      <c r="L43" s="20">
        <f>IF(OR(O41&lt;O32,O40&lt;O33,O41=""),"X","")</f>
      </c>
      <c r="M43" s="21" t="str">
        <f>IF(AND(O41&gt;=O32,O40&gt;=O33,L43=""),"X","")</f>
        <v>X</v>
      </c>
      <c r="N43" s="37">
        <f>Resultatskj!M14</f>
      </c>
      <c r="O43" s="45"/>
      <c r="P43" s="38">
        <f>Resultatskj!A14</f>
        <v>3</v>
      </c>
    </row>
    <row r="44" spans="1:16" ht="12.75">
      <c r="A44" s="247" t="str">
        <f>IF(Resultatskj!C3="","",Resultatskj!C3)</f>
        <v>Johnny Knutsen, Arvid Strømsvik, Terje Pedersen</v>
      </c>
      <c r="B44" s="247"/>
      <c r="C44" s="247"/>
      <c r="D44" s="247"/>
      <c r="E44" s="247"/>
      <c r="F44" s="247" t="str">
        <f>IF(Resultatskj!C4="","",Resultatskj!C4)</f>
        <v>Tor Tetli, Arild Djupvik og Kristoffer Modell</v>
      </c>
      <c r="G44" s="247"/>
      <c r="H44" s="247"/>
      <c r="I44" s="247"/>
      <c r="J44" s="247"/>
      <c r="K44" s="9"/>
      <c r="L44" s="239" t="str">
        <f>Resultatskj!L26</f>
        <v>B.Strand, august 2007</v>
      </c>
      <c r="M44" s="239"/>
      <c r="N44" s="239"/>
      <c r="O44" s="239"/>
      <c r="P44" s="239"/>
    </row>
    <row r="45" spans="1:16" ht="12.75">
      <c r="A45" s="254" t="str">
        <f>IF(Resultatskj!C3="","",Resultatskj!C3)</f>
        <v>Johnny Knutsen, Arvid Strømsvik, Terje Pedersen</v>
      </c>
      <c r="B45" s="254"/>
      <c r="C45" s="254"/>
      <c r="D45" s="254"/>
      <c r="E45" s="254"/>
      <c r="F45" s="254" t="str">
        <f>IF(Resultatskj!C4="","",Resultatskj!C4)</f>
        <v>Tor Tetli, Arild Djupvik og Kristoffer Modell</v>
      </c>
      <c r="G45" s="254"/>
      <c r="H45" s="254"/>
      <c r="I45" s="254"/>
      <c r="J45" s="254"/>
      <c r="K45" s="9"/>
      <c r="L45" s="253"/>
      <c r="M45" s="253"/>
      <c r="N45" s="253"/>
      <c r="O45" s="253"/>
      <c r="P45" s="253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2"/>
      <c r="P46" s="252"/>
    </row>
  </sheetData>
  <sheetProtection password="CDEC" sheet="1" objects="1" scenarios="1"/>
  <mergeCells count="96">
    <mergeCell ref="B28:E28"/>
    <mergeCell ref="K21:P21"/>
    <mergeCell ref="K22:P22"/>
    <mergeCell ref="K28:P28"/>
    <mergeCell ref="K23:P23"/>
    <mergeCell ref="K27:P27"/>
    <mergeCell ref="A21:E21"/>
    <mergeCell ref="B24:E24"/>
    <mergeCell ref="A25:E25"/>
    <mergeCell ref="K25:P25"/>
    <mergeCell ref="A26:P26"/>
    <mergeCell ref="L39:N39"/>
    <mergeCell ref="E32:J32"/>
    <mergeCell ref="L32:N32"/>
    <mergeCell ref="A27:E27"/>
    <mergeCell ref="B29:E29"/>
    <mergeCell ref="B39:E39"/>
    <mergeCell ref="E36:J36"/>
    <mergeCell ref="K30:P30"/>
    <mergeCell ref="O38:P38"/>
    <mergeCell ref="B13:E13"/>
    <mergeCell ref="K14:P14"/>
    <mergeCell ref="B16:E16"/>
    <mergeCell ref="B17:E17"/>
    <mergeCell ref="K17:P17"/>
    <mergeCell ref="K13:P13"/>
    <mergeCell ref="K15:P15"/>
    <mergeCell ref="B14:E14"/>
    <mergeCell ref="B15:E15"/>
    <mergeCell ref="K16:P16"/>
    <mergeCell ref="M4:P4"/>
    <mergeCell ref="K12:P12"/>
    <mergeCell ref="A7:P7"/>
    <mergeCell ref="B12:E12"/>
    <mergeCell ref="A4:B4"/>
    <mergeCell ref="K4:L4"/>
    <mergeCell ref="A5:B5"/>
    <mergeCell ref="C5:J5"/>
    <mergeCell ref="A8:E8"/>
    <mergeCell ref="K8:P8"/>
    <mergeCell ref="F1:P1"/>
    <mergeCell ref="A1:E1"/>
    <mergeCell ref="K24:P24"/>
    <mergeCell ref="L40:N40"/>
    <mergeCell ref="C4:J4"/>
    <mergeCell ref="E34:J34"/>
    <mergeCell ref="L35:N35"/>
    <mergeCell ref="L34:N34"/>
    <mergeCell ref="E35:J35"/>
    <mergeCell ref="K29:P29"/>
    <mergeCell ref="B22:E22"/>
    <mergeCell ref="B23:E23"/>
    <mergeCell ref="B18:E18"/>
    <mergeCell ref="A19:E19"/>
    <mergeCell ref="A20:P20"/>
    <mergeCell ref="O39:P39"/>
    <mergeCell ref="L33:N33"/>
    <mergeCell ref="K18:P18"/>
    <mergeCell ref="K19:P19"/>
    <mergeCell ref="L36:N36"/>
    <mergeCell ref="A2:B2"/>
    <mergeCell ref="C2:F2"/>
    <mergeCell ref="K2:M2"/>
    <mergeCell ref="A3:P3"/>
    <mergeCell ref="K5:L5"/>
    <mergeCell ref="E33:J33"/>
    <mergeCell ref="M5:P5"/>
    <mergeCell ref="A6:B6"/>
    <mergeCell ref="C6:J6"/>
    <mergeCell ref="K6:L6"/>
    <mergeCell ref="M6:P6"/>
    <mergeCell ref="B9:E9"/>
    <mergeCell ref="K9:P9"/>
    <mergeCell ref="A38:E38"/>
    <mergeCell ref="L38:N38"/>
    <mergeCell ref="B11:E11"/>
    <mergeCell ref="K11:P11"/>
    <mergeCell ref="B10:E10"/>
    <mergeCell ref="K10:P10"/>
    <mergeCell ref="A30:E30"/>
    <mergeCell ref="O46:P46"/>
    <mergeCell ref="A42:J44"/>
    <mergeCell ref="A45:E45"/>
    <mergeCell ref="F45:J45"/>
    <mergeCell ref="L45:P45"/>
    <mergeCell ref="A31:P31"/>
    <mergeCell ref="A32:B32"/>
    <mergeCell ref="C32:D32"/>
    <mergeCell ref="A37:D37"/>
    <mergeCell ref="E37:J37"/>
    <mergeCell ref="L44:P44"/>
    <mergeCell ref="B40:E40"/>
    <mergeCell ref="A41:E41"/>
    <mergeCell ref="L41:N41"/>
    <mergeCell ref="O41:P41"/>
    <mergeCell ref="O40:P40"/>
  </mergeCells>
  <printOptions/>
  <pageMargins left="0.5118110236220472" right="0.5118110236220472" top="0.3937007874015748" bottom="0.5118110236220472" header="0.5118110236220472" footer="0.5118110236220472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Mascot Electronic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Hansen</dc:creator>
  <cp:keywords/>
  <dc:description/>
  <cp:lastModifiedBy>sbhk</cp:lastModifiedBy>
  <cp:lastPrinted>2010-08-21T14:46:02Z</cp:lastPrinted>
  <dcterms:created xsi:type="dcterms:W3CDTF">1999-06-23T05:15:31Z</dcterms:created>
  <dcterms:modified xsi:type="dcterms:W3CDTF">2010-08-22T12:43:44Z</dcterms:modified>
  <cp:category/>
  <cp:version/>
  <cp:contentType/>
  <cp:contentStatus/>
</cp:coreProperties>
</file>